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35" windowHeight="8820" activeTab="1"/>
  </bookViews>
  <sheets>
    <sheet name="Титул" sheetId="10" r:id="rId1"/>
    <sheet name="на выход" sheetId="1" r:id="rId2"/>
    <sheet name="сводки БЖУ" sheetId="2" r:id="rId3"/>
    <sheet name="обьемы по приемам пищи" sheetId="9" r:id="rId4"/>
    <sheet name="библиография" sheetId="7" r:id="rId5"/>
    <sheet name="Лист1" sheetId="8" state="hidden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D328" i="1" l="1"/>
  <c r="E328" i="1"/>
  <c r="F328" i="1"/>
  <c r="G328" i="1"/>
  <c r="H328" i="1"/>
  <c r="I328" i="1"/>
  <c r="J328" i="1"/>
  <c r="K328" i="1"/>
  <c r="L328" i="1"/>
  <c r="D226" i="1"/>
  <c r="E226" i="1"/>
  <c r="F226" i="1"/>
  <c r="G226" i="1"/>
  <c r="H226" i="1"/>
  <c r="I226" i="1"/>
  <c r="J226" i="1"/>
  <c r="K226" i="1"/>
  <c r="L226" i="1"/>
  <c r="D195" i="1"/>
  <c r="E195" i="1"/>
  <c r="F195" i="1"/>
  <c r="G195" i="1"/>
  <c r="H195" i="1"/>
  <c r="I195" i="1"/>
  <c r="J195" i="1"/>
  <c r="K195" i="1"/>
  <c r="L195" i="1"/>
  <c r="D161" i="1"/>
  <c r="E161" i="1"/>
  <c r="F161" i="1"/>
  <c r="G161" i="1"/>
  <c r="H161" i="1"/>
  <c r="I161" i="1"/>
  <c r="J161" i="1"/>
  <c r="K161" i="1"/>
  <c r="L161" i="1"/>
  <c r="D129" i="1"/>
  <c r="E129" i="1"/>
  <c r="F129" i="1"/>
  <c r="G129" i="1"/>
  <c r="H129" i="1"/>
  <c r="I129" i="1"/>
  <c r="J129" i="1"/>
  <c r="K129" i="1"/>
  <c r="L129" i="1"/>
  <c r="D62" i="1"/>
  <c r="E62" i="1"/>
  <c r="F62" i="1"/>
  <c r="G62" i="1"/>
  <c r="H62" i="1"/>
  <c r="I62" i="1"/>
  <c r="J62" i="1"/>
  <c r="K62" i="1"/>
  <c r="L62" i="1"/>
  <c r="D29" i="1"/>
  <c r="E29" i="1"/>
  <c r="F29" i="1"/>
  <c r="G29" i="1"/>
  <c r="H29" i="1"/>
  <c r="I29" i="1"/>
  <c r="J29" i="1"/>
  <c r="K29" i="1"/>
  <c r="L29" i="1"/>
  <c r="D322" i="1" l="1"/>
  <c r="E322" i="1"/>
  <c r="F322" i="1"/>
  <c r="G322" i="1"/>
  <c r="H322" i="1"/>
  <c r="I322" i="1"/>
  <c r="J322" i="1"/>
  <c r="K322" i="1"/>
  <c r="L322" i="1"/>
  <c r="E307" i="1"/>
  <c r="F307" i="1"/>
  <c r="G307" i="1"/>
  <c r="H307" i="1"/>
  <c r="I307" i="1"/>
  <c r="J307" i="1"/>
  <c r="K307" i="1"/>
  <c r="L307" i="1"/>
  <c r="L289" i="1"/>
  <c r="L294" i="1" s="1"/>
  <c r="K289" i="1"/>
  <c r="K294" i="1" s="1"/>
  <c r="J289" i="1"/>
  <c r="J294" i="1" s="1"/>
  <c r="I289" i="1"/>
  <c r="I294" i="1" s="1"/>
  <c r="H289" i="1"/>
  <c r="H294" i="1" s="1"/>
  <c r="G289" i="1"/>
  <c r="G294" i="1" s="1"/>
  <c r="F289" i="1"/>
  <c r="F294" i="1" s="1"/>
  <c r="E289" i="1"/>
  <c r="E294" i="1" s="1"/>
  <c r="D285" i="1"/>
  <c r="E285" i="1"/>
  <c r="F285" i="1"/>
  <c r="G285" i="1"/>
  <c r="H285" i="1"/>
  <c r="I285" i="1"/>
  <c r="J285" i="1"/>
  <c r="K285" i="1"/>
  <c r="L285" i="1"/>
  <c r="D282" i="1"/>
  <c r="E282" i="1"/>
  <c r="F282" i="1"/>
  <c r="G282" i="1"/>
  <c r="H282" i="1"/>
  <c r="I282" i="1"/>
  <c r="J282" i="1"/>
  <c r="K282" i="1"/>
  <c r="L282" i="1"/>
  <c r="E273" i="1"/>
  <c r="F273" i="1"/>
  <c r="G273" i="1"/>
  <c r="H273" i="1"/>
  <c r="I273" i="1"/>
  <c r="J273" i="1"/>
  <c r="K273" i="1"/>
  <c r="L273" i="1"/>
  <c r="L92" i="1"/>
  <c r="K92" i="1"/>
  <c r="J92" i="1"/>
  <c r="I92" i="1"/>
  <c r="H92" i="1"/>
  <c r="G92" i="1"/>
  <c r="F92" i="1"/>
  <c r="E92" i="1"/>
  <c r="E97" i="1" s="1"/>
  <c r="L256" i="1"/>
  <c r="L261" i="1" s="1"/>
  <c r="K256" i="1"/>
  <c r="K261" i="1" s="1"/>
  <c r="J256" i="1"/>
  <c r="J261" i="1" s="1"/>
  <c r="I256" i="1"/>
  <c r="I261" i="1" s="1"/>
  <c r="H256" i="1"/>
  <c r="H261" i="1" s="1"/>
  <c r="G256" i="1"/>
  <c r="G261" i="1" s="1"/>
  <c r="F256" i="1"/>
  <c r="F261" i="1" s="1"/>
  <c r="E256" i="1"/>
  <c r="E261" i="1" s="1"/>
  <c r="D252" i="1"/>
  <c r="E252" i="1"/>
  <c r="F252" i="1"/>
  <c r="G252" i="1"/>
  <c r="H252" i="1"/>
  <c r="I252" i="1"/>
  <c r="J252" i="1"/>
  <c r="K252" i="1"/>
  <c r="L252" i="1"/>
  <c r="L249" i="1"/>
  <c r="K249" i="1"/>
  <c r="J249" i="1"/>
  <c r="I249" i="1"/>
  <c r="H249" i="1"/>
  <c r="G249" i="1"/>
  <c r="F249" i="1"/>
  <c r="E249" i="1"/>
  <c r="D249" i="1"/>
  <c r="L239" i="1"/>
  <c r="K239" i="1"/>
  <c r="J239" i="1"/>
  <c r="I239" i="1"/>
  <c r="H239" i="1"/>
  <c r="G239" i="1"/>
  <c r="F239" i="1"/>
  <c r="E239" i="1"/>
  <c r="H220" i="1"/>
  <c r="I220" i="1"/>
  <c r="J220" i="1"/>
  <c r="K220" i="1"/>
  <c r="L220" i="1"/>
  <c r="F220" i="1"/>
  <c r="G220" i="1"/>
  <c r="E220" i="1"/>
  <c r="D220" i="1"/>
  <c r="L217" i="1"/>
  <c r="K217" i="1"/>
  <c r="J217" i="1"/>
  <c r="I217" i="1"/>
  <c r="H217" i="1"/>
  <c r="G217" i="1"/>
  <c r="F217" i="1"/>
  <c r="E217" i="1"/>
  <c r="D217" i="1"/>
  <c r="L207" i="1"/>
  <c r="K207" i="1"/>
  <c r="J207" i="1"/>
  <c r="I207" i="1"/>
  <c r="H207" i="1"/>
  <c r="G207" i="1"/>
  <c r="F207" i="1"/>
  <c r="E207" i="1"/>
  <c r="L189" i="1"/>
  <c r="K189" i="1"/>
  <c r="J189" i="1"/>
  <c r="I189" i="1"/>
  <c r="H189" i="1"/>
  <c r="G189" i="1"/>
  <c r="F189" i="1"/>
  <c r="E189" i="1"/>
  <c r="D189" i="1"/>
  <c r="L174" i="1"/>
  <c r="K174" i="1"/>
  <c r="J174" i="1"/>
  <c r="I174" i="1"/>
  <c r="H174" i="1"/>
  <c r="G174" i="1"/>
  <c r="F174" i="1"/>
  <c r="E174" i="1"/>
  <c r="L155" i="1"/>
  <c r="K155" i="1"/>
  <c r="J155" i="1"/>
  <c r="I155" i="1"/>
  <c r="H155" i="1"/>
  <c r="G155" i="1"/>
  <c r="F155" i="1"/>
  <c r="E155" i="1"/>
  <c r="D155" i="1"/>
  <c r="L152" i="1"/>
  <c r="K152" i="1"/>
  <c r="J152" i="1"/>
  <c r="I152" i="1"/>
  <c r="H152" i="1"/>
  <c r="G152" i="1"/>
  <c r="F152" i="1"/>
  <c r="E152" i="1"/>
  <c r="D152" i="1"/>
  <c r="L142" i="1"/>
  <c r="K142" i="1"/>
  <c r="J142" i="1"/>
  <c r="I142" i="1"/>
  <c r="H142" i="1"/>
  <c r="G142" i="1"/>
  <c r="F142" i="1"/>
  <c r="E142" i="1"/>
  <c r="L122" i="1"/>
  <c r="K122" i="1"/>
  <c r="J122" i="1"/>
  <c r="I122" i="1"/>
  <c r="H122" i="1"/>
  <c r="G122" i="1"/>
  <c r="F122" i="1"/>
  <c r="E122" i="1"/>
  <c r="D122" i="1"/>
  <c r="L119" i="1"/>
  <c r="K119" i="1"/>
  <c r="J119" i="1"/>
  <c r="I119" i="1"/>
  <c r="H119" i="1"/>
  <c r="G119" i="1"/>
  <c r="F119" i="1"/>
  <c r="E119" i="1"/>
  <c r="D119" i="1"/>
  <c r="L110" i="1"/>
  <c r="K110" i="1"/>
  <c r="J110" i="1"/>
  <c r="I110" i="1"/>
  <c r="H110" i="1"/>
  <c r="G110" i="1"/>
  <c r="F110" i="1"/>
  <c r="E110" i="1"/>
  <c r="L88" i="1"/>
  <c r="K88" i="1"/>
  <c r="J88" i="1"/>
  <c r="I88" i="1"/>
  <c r="H88" i="1"/>
  <c r="G88" i="1"/>
  <c r="F88" i="1"/>
  <c r="E88" i="1"/>
  <c r="D88" i="1"/>
  <c r="L85" i="1"/>
  <c r="K85" i="1"/>
  <c r="J85" i="1"/>
  <c r="I85" i="1"/>
  <c r="H85" i="1"/>
  <c r="G85" i="1"/>
  <c r="F85" i="1"/>
  <c r="E85" i="1"/>
  <c r="D85" i="1"/>
  <c r="L75" i="1"/>
  <c r="K75" i="1"/>
  <c r="J75" i="1"/>
  <c r="I75" i="1"/>
  <c r="H75" i="1"/>
  <c r="G75" i="1"/>
  <c r="F75" i="1"/>
  <c r="E75" i="1"/>
  <c r="L56" i="1"/>
  <c r="K56" i="1"/>
  <c r="J56" i="1"/>
  <c r="I56" i="1"/>
  <c r="H56" i="1"/>
  <c r="G56" i="1"/>
  <c r="F56" i="1"/>
  <c r="E56" i="1"/>
  <c r="D56" i="1"/>
  <c r="L42" i="1"/>
  <c r="K42" i="1"/>
  <c r="J42" i="1"/>
  <c r="I42" i="1"/>
  <c r="H42" i="1"/>
  <c r="G42" i="1"/>
  <c r="F42" i="1"/>
  <c r="E42" i="1"/>
  <c r="L23" i="1"/>
  <c r="K23" i="1"/>
  <c r="J23" i="1"/>
  <c r="I23" i="1"/>
  <c r="H23" i="1"/>
  <c r="G23" i="1"/>
  <c r="F23" i="1"/>
  <c r="E23" i="1"/>
  <c r="L9" i="1"/>
  <c r="K9" i="1"/>
  <c r="J9" i="1"/>
  <c r="I9" i="1"/>
  <c r="H9" i="1"/>
  <c r="G9" i="1"/>
  <c r="F9" i="1"/>
  <c r="E9" i="1"/>
  <c r="D338" i="1" l="1"/>
  <c r="D335" i="1"/>
  <c r="E49" i="1"/>
  <c r="E53" i="1" s="1"/>
  <c r="D20" i="1"/>
  <c r="E20" i="1"/>
  <c r="F20" i="1"/>
  <c r="G20" i="1"/>
  <c r="H20" i="1"/>
  <c r="I20" i="1"/>
  <c r="J20" i="1"/>
  <c r="K20" i="1"/>
  <c r="L20" i="1"/>
  <c r="D12" i="1" l="1"/>
  <c r="D30" i="1" s="1"/>
  <c r="E314" i="1" l="1"/>
  <c r="E319" i="1" s="1"/>
  <c r="L314" i="1"/>
  <c r="L319" i="1" s="1"/>
  <c r="K314" i="1"/>
  <c r="K319" i="1" s="1"/>
  <c r="J314" i="1"/>
  <c r="J319" i="1" s="1"/>
  <c r="I314" i="1"/>
  <c r="I319" i="1" s="1"/>
  <c r="H314" i="1"/>
  <c r="H319" i="1" s="1"/>
  <c r="G314" i="1"/>
  <c r="G319" i="1" s="1"/>
  <c r="F314" i="1"/>
  <c r="F319" i="1" s="1"/>
  <c r="F310" i="1"/>
  <c r="G310" i="1"/>
  <c r="H310" i="1"/>
  <c r="I310" i="1"/>
  <c r="J310" i="1"/>
  <c r="K310" i="1"/>
  <c r="L310" i="1"/>
  <c r="E310" i="1"/>
  <c r="D310" i="1"/>
  <c r="D329" i="1" s="1"/>
  <c r="H329" i="1" l="1"/>
  <c r="E329" i="1"/>
  <c r="F276" i="1"/>
  <c r="G276" i="1"/>
  <c r="H276" i="1"/>
  <c r="H295" i="1" s="1"/>
  <c r="I276" i="1"/>
  <c r="J276" i="1"/>
  <c r="K276" i="1"/>
  <c r="L276" i="1"/>
  <c r="E276" i="1"/>
  <c r="E295" i="1" s="1"/>
  <c r="D276" i="1"/>
  <c r="D295" i="1" s="1"/>
  <c r="F242" i="1"/>
  <c r="G242" i="1"/>
  <c r="H242" i="1"/>
  <c r="H262" i="1" s="1"/>
  <c r="I242" i="1"/>
  <c r="J242" i="1"/>
  <c r="K242" i="1"/>
  <c r="L242" i="1"/>
  <c r="E242" i="1"/>
  <c r="D242" i="1"/>
  <c r="D262" i="1" s="1"/>
  <c r="D210" i="1"/>
  <c r="D227" i="1" s="1"/>
  <c r="F210" i="1"/>
  <c r="G210" i="1"/>
  <c r="H210" i="1"/>
  <c r="H227" i="1" s="1"/>
  <c r="I210" i="1"/>
  <c r="J210" i="1"/>
  <c r="K210" i="1"/>
  <c r="L210" i="1"/>
  <c r="E210" i="1"/>
  <c r="E227" i="1" s="1"/>
  <c r="F145" i="1"/>
  <c r="G145" i="1"/>
  <c r="H145" i="1"/>
  <c r="H162" i="1" s="1"/>
  <c r="I145" i="1"/>
  <c r="J145" i="1"/>
  <c r="K145" i="1"/>
  <c r="L145" i="1"/>
  <c r="E145" i="1"/>
  <c r="E162" i="1" s="1"/>
  <c r="D145" i="1"/>
  <c r="D162" i="1" s="1"/>
  <c r="E297" i="1" l="1"/>
  <c r="E262" i="1"/>
  <c r="E264" i="1" s="1"/>
  <c r="E164" i="1"/>
  <c r="F113" i="1"/>
  <c r="F130" i="1" s="1"/>
  <c r="G113" i="1"/>
  <c r="G130" i="1" s="1"/>
  <c r="H113" i="1"/>
  <c r="H130" i="1" s="1"/>
  <c r="I113" i="1"/>
  <c r="J113" i="1"/>
  <c r="K113" i="1"/>
  <c r="L113" i="1"/>
  <c r="E113" i="1"/>
  <c r="E130" i="1" s="1"/>
  <c r="D113" i="1"/>
  <c r="D130" i="1" s="1"/>
  <c r="L97" i="1"/>
  <c r="K97" i="1"/>
  <c r="J97" i="1"/>
  <c r="I97" i="1"/>
  <c r="H97" i="1"/>
  <c r="G97" i="1"/>
  <c r="F97" i="1"/>
  <c r="F78" i="1"/>
  <c r="G78" i="1"/>
  <c r="H78" i="1"/>
  <c r="H98" i="1" s="1"/>
  <c r="I78" i="1"/>
  <c r="J78" i="1"/>
  <c r="K78" i="1"/>
  <c r="L78" i="1"/>
  <c r="E78" i="1"/>
  <c r="D78" i="1"/>
  <c r="D98" i="1" s="1"/>
  <c r="G98" i="1" l="1"/>
  <c r="F98" i="1"/>
  <c r="J98" i="1"/>
  <c r="E98" i="1"/>
  <c r="K98" i="1"/>
  <c r="L98" i="1"/>
  <c r="I98" i="1"/>
  <c r="F49" i="1"/>
  <c r="F53" i="1" s="1"/>
  <c r="G49" i="1"/>
  <c r="G53" i="1" s="1"/>
  <c r="H49" i="1"/>
  <c r="H53" i="1" s="1"/>
  <c r="I49" i="1"/>
  <c r="I53" i="1" s="1"/>
  <c r="J49" i="1"/>
  <c r="J53" i="1" s="1"/>
  <c r="K49" i="1"/>
  <c r="K53" i="1" s="1"/>
  <c r="L49" i="1"/>
  <c r="L53" i="1" s="1"/>
  <c r="F45" i="1"/>
  <c r="G45" i="1"/>
  <c r="H45" i="1"/>
  <c r="H63" i="1" s="1"/>
  <c r="I45" i="1"/>
  <c r="J45" i="1"/>
  <c r="K45" i="1"/>
  <c r="L45" i="1"/>
  <c r="E45" i="1"/>
  <c r="E63" i="1" s="1"/>
  <c r="D45" i="1"/>
  <c r="D63" i="1" s="1"/>
  <c r="F63" i="1" l="1"/>
  <c r="L63" i="1"/>
  <c r="K63" i="1"/>
  <c r="I63" i="1"/>
  <c r="J63" i="1"/>
  <c r="G63" i="1"/>
  <c r="E65" i="1"/>
  <c r="E181" i="1"/>
  <c r="E186" i="1" s="1"/>
  <c r="L181" i="1"/>
  <c r="L186" i="1" s="1"/>
  <c r="K181" i="1"/>
  <c r="K186" i="1" s="1"/>
  <c r="J181" i="1"/>
  <c r="J186" i="1" s="1"/>
  <c r="I181" i="1"/>
  <c r="I186" i="1" s="1"/>
  <c r="H181" i="1"/>
  <c r="H186" i="1" s="1"/>
  <c r="G181" i="1"/>
  <c r="G186" i="1" s="1"/>
  <c r="F181" i="1"/>
  <c r="F186" i="1" s="1"/>
  <c r="F177" i="1"/>
  <c r="G177" i="1"/>
  <c r="H177" i="1"/>
  <c r="H196" i="1" s="1"/>
  <c r="I177" i="1"/>
  <c r="J177" i="1"/>
  <c r="K177" i="1"/>
  <c r="L177" i="1"/>
  <c r="E177" i="1"/>
  <c r="D177" i="1"/>
  <c r="D196" i="1" s="1"/>
  <c r="F12" i="1"/>
  <c r="F30" i="1" s="1"/>
  <c r="G12" i="1"/>
  <c r="G30" i="1" s="1"/>
  <c r="H12" i="1"/>
  <c r="H30" i="1" s="1"/>
  <c r="I12" i="1"/>
  <c r="I30" i="1" s="1"/>
  <c r="J12" i="1"/>
  <c r="J30" i="1" s="1"/>
  <c r="K12" i="1"/>
  <c r="K30" i="1" s="1"/>
  <c r="L12" i="1"/>
  <c r="L30" i="1" s="1"/>
  <c r="E12" i="1"/>
  <c r="E30" i="1" s="1"/>
  <c r="E196" i="1" l="1"/>
  <c r="D336" i="1"/>
  <c r="E32" i="1"/>
  <c r="G14" i="9" l="1"/>
  <c r="F14" i="9"/>
  <c r="E14" i="9"/>
  <c r="D14" i="9"/>
  <c r="C14" i="9"/>
  <c r="F13" i="9"/>
  <c r="E13" i="9"/>
  <c r="D13" i="9"/>
  <c r="C13" i="9"/>
  <c r="F12" i="9"/>
  <c r="E12" i="9"/>
  <c r="D12" i="9"/>
  <c r="C12" i="9"/>
  <c r="D11" i="9"/>
  <c r="C11" i="9"/>
  <c r="G10" i="9"/>
  <c r="F10" i="9"/>
  <c r="E10" i="9"/>
  <c r="D10" i="9"/>
  <c r="C10" i="9"/>
  <c r="G9" i="9"/>
  <c r="E9" i="9"/>
  <c r="D9" i="9"/>
  <c r="C9" i="9"/>
  <c r="G8" i="9"/>
  <c r="F8" i="9"/>
  <c r="E8" i="9"/>
  <c r="D8" i="9"/>
  <c r="C8" i="9"/>
  <c r="F7" i="9"/>
  <c r="E7" i="9"/>
  <c r="D7" i="9"/>
  <c r="G6" i="9"/>
  <c r="F6" i="9"/>
  <c r="C6" i="9"/>
  <c r="F5" i="9"/>
  <c r="E5" i="9"/>
  <c r="D5" i="9"/>
  <c r="C5" i="9"/>
  <c r="F9" i="9"/>
  <c r="G11" i="9" l="1"/>
  <c r="F11" i="9"/>
  <c r="F16" i="9" s="1"/>
  <c r="E331" i="1" l="1"/>
  <c r="G12" i="9"/>
  <c r="G7" i="9" l="1"/>
  <c r="J162" i="1" l="1"/>
  <c r="J164" i="1" s="1"/>
  <c r="I162" i="1"/>
  <c r="I164" i="1" s="1"/>
  <c r="L162" i="1"/>
  <c r="L164" i="1" s="1"/>
  <c r="H164" i="1"/>
  <c r="K162" i="1"/>
  <c r="K164" i="1" s="1"/>
  <c r="G162" i="1"/>
  <c r="G164" i="1" s="1"/>
  <c r="C7" i="9"/>
  <c r="C16" i="9" s="1"/>
  <c r="F162" i="1"/>
  <c r="F164" i="1" s="1"/>
  <c r="G5" i="9" l="1"/>
  <c r="G16" i="9" s="1"/>
  <c r="L329" i="1" l="1"/>
  <c r="L331" i="1" s="1"/>
  <c r="K329" i="1"/>
  <c r="K331" i="1" s="1"/>
  <c r="G329" i="1"/>
  <c r="G331" i="1" s="1"/>
  <c r="I329" i="1"/>
  <c r="I331" i="1" s="1"/>
  <c r="F329" i="1"/>
  <c r="F331" i="1" s="1"/>
  <c r="J329" i="1"/>
  <c r="J331" i="1" s="1"/>
  <c r="H331" i="1" l="1"/>
  <c r="E198" i="1"/>
  <c r="D339" i="1" l="1"/>
  <c r="D6" i="9"/>
  <c r="D16" i="9" s="1"/>
  <c r="K130" i="1" l="1"/>
  <c r="L130" i="1"/>
  <c r="I130" i="1"/>
  <c r="J130" i="1"/>
  <c r="J8" i="2" l="1"/>
  <c r="L132" i="1"/>
  <c r="I8" i="2"/>
  <c r="K132" i="1"/>
  <c r="H8" i="2"/>
  <c r="J132" i="1"/>
  <c r="G8" i="2"/>
  <c r="I132" i="1"/>
  <c r="F8" i="2"/>
  <c r="H132" i="1"/>
  <c r="E8" i="2"/>
  <c r="G132" i="1"/>
  <c r="D8" i="2"/>
  <c r="F132" i="1"/>
  <c r="G14" i="2"/>
  <c r="E14" i="2"/>
  <c r="H14" i="2"/>
  <c r="D14" i="2"/>
  <c r="I14" i="2"/>
  <c r="J14" i="2"/>
  <c r="F14" i="2"/>
  <c r="C14" i="2"/>
  <c r="K100" i="1" l="1"/>
  <c r="G100" i="1"/>
  <c r="I100" i="1"/>
  <c r="F100" i="1"/>
  <c r="J100" i="1"/>
  <c r="L100" i="1"/>
  <c r="H100" i="1" l="1"/>
  <c r="D7" i="2"/>
  <c r="G7" i="2"/>
  <c r="E7" i="2"/>
  <c r="J7" i="2"/>
  <c r="H7" i="2"/>
  <c r="I7" i="2"/>
  <c r="F7" i="2" l="1"/>
  <c r="J15" i="8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G16" i="8"/>
  <c r="H16" i="8"/>
  <c r="I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G8" i="8" s="1"/>
  <c r="F5" i="8"/>
  <c r="F8" i="8" s="1"/>
  <c r="E5" i="8"/>
  <c r="E8" i="8" s="1"/>
  <c r="D5" i="8"/>
  <c r="D8" i="8" s="1"/>
  <c r="C5" i="8"/>
  <c r="C8" i="8" s="1"/>
  <c r="C9" i="2" l="1"/>
  <c r="F295" i="1"/>
  <c r="F297" i="1" s="1"/>
  <c r="G295" i="1"/>
  <c r="G297" i="1" s="1"/>
  <c r="H297" i="1"/>
  <c r="I295" i="1"/>
  <c r="I297" i="1" s="1"/>
  <c r="J295" i="1"/>
  <c r="J297" i="1" s="1"/>
  <c r="K295" i="1"/>
  <c r="K297" i="1" s="1"/>
  <c r="L295" i="1"/>
  <c r="L297" i="1" s="1"/>
  <c r="D9" i="2"/>
  <c r="E9" i="2"/>
  <c r="F9" i="2"/>
  <c r="G9" i="2"/>
  <c r="H9" i="2"/>
  <c r="I9" i="2"/>
  <c r="J9" i="2"/>
  <c r="D337" i="1" l="1"/>
  <c r="E11" i="9"/>
  <c r="I262" i="1"/>
  <c r="I264" i="1" s="1"/>
  <c r="F262" i="1"/>
  <c r="F264" i="1" s="1"/>
  <c r="J262" i="1"/>
  <c r="J264" i="1" s="1"/>
  <c r="L262" i="1"/>
  <c r="L264" i="1" s="1"/>
  <c r="H264" i="1"/>
  <c r="K262" i="1"/>
  <c r="K264" i="1" s="1"/>
  <c r="G262" i="1"/>
  <c r="G264" i="1" s="1"/>
  <c r="K196" i="1"/>
  <c r="K198" i="1" s="1"/>
  <c r="G196" i="1"/>
  <c r="G198" i="1" s="1"/>
  <c r="I196" i="1"/>
  <c r="I198" i="1" s="1"/>
  <c r="F196" i="1"/>
  <c r="F198" i="1" s="1"/>
  <c r="J196" i="1"/>
  <c r="J198" i="1" s="1"/>
  <c r="L196" i="1"/>
  <c r="L198" i="1" s="1"/>
  <c r="H198" i="1"/>
  <c r="E6" i="9"/>
  <c r="H13" i="2"/>
  <c r="J13" i="2"/>
  <c r="F13" i="2"/>
  <c r="I13" i="2"/>
  <c r="E13" i="2"/>
  <c r="G13" i="2"/>
  <c r="D13" i="2"/>
  <c r="C5" i="2"/>
  <c r="C8" i="2" l="1"/>
  <c r="E132" i="1"/>
  <c r="J5" i="2"/>
  <c r="L32" i="1"/>
  <c r="I5" i="2"/>
  <c r="K32" i="1"/>
  <c r="H5" i="2"/>
  <c r="J32" i="1"/>
  <c r="G5" i="2"/>
  <c r="I32" i="1"/>
  <c r="E5" i="2"/>
  <c r="G32" i="1"/>
  <c r="D5" i="2"/>
  <c r="F32" i="1"/>
  <c r="E16" i="9"/>
  <c r="E10" i="2"/>
  <c r="I10" i="2"/>
  <c r="F10" i="2"/>
  <c r="G10" i="2"/>
  <c r="J10" i="2"/>
  <c r="H10" i="2"/>
  <c r="D10" i="2"/>
  <c r="C6" i="2" l="1"/>
  <c r="C10" i="2" l="1"/>
  <c r="C13" i="2" l="1"/>
  <c r="C11" i="2" l="1"/>
  <c r="E229" i="1"/>
  <c r="J6" i="2"/>
  <c r="L65" i="1"/>
  <c r="I6" i="2"/>
  <c r="K65" i="1"/>
  <c r="H6" i="2"/>
  <c r="J65" i="1"/>
  <c r="G6" i="2"/>
  <c r="I65" i="1"/>
  <c r="F6" i="2"/>
  <c r="H65" i="1"/>
  <c r="E6" i="2"/>
  <c r="G65" i="1"/>
  <c r="D6" i="2"/>
  <c r="F65" i="1"/>
  <c r="G227" i="1"/>
  <c r="L227" i="1"/>
  <c r="I227" i="1"/>
  <c r="K227" i="1"/>
  <c r="J227" i="1"/>
  <c r="F227" i="1"/>
  <c r="D11" i="2" l="1"/>
  <c r="F229" i="1"/>
  <c r="F11" i="2"/>
  <c r="H229" i="1"/>
  <c r="J11" i="2"/>
  <c r="L229" i="1"/>
  <c r="I11" i="2"/>
  <c r="K229" i="1"/>
  <c r="G11" i="2"/>
  <c r="I229" i="1"/>
  <c r="H11" i="2"/>
  <c r="J229" i="1"/>
  <c r="E11" i="2"/>
  <c r="G229" i="1"/>
  <c r="C12" i="2"/>
  <c r="E100" i="1"/>
  <c r="C7" i="2" l="1"/>
  <c r="F12" i="2" l="1"/>
  <c r="J12" i="2"/>
  <c r="E12" i="2"/>
  <c r="D12" i="2"/>
  <c r="G12" i="2"/>
  <c r="I12" i="2"/>
  <c r="H12" i="2"/>
  <c r="I15" i="2" l="1"/>
  <c r="G15" i="2"/>
  <c r="D15" i="2"/>
  <c r="N6" i="2" s="1"/>
  <c r="N7" i="2" s="1"/>
  <c r="E15" i="2"/>
  <c r="O6" i="2" s="1"/>
  <c r="O7" i="2" s="1"/>
  <c r="J15" i="2"/>
  <c r="H15" i="2"/>
  <c r="C15" i="2" l="1"/>
  <c r="M6" i="2" l="1"/>
  <c r="M7" i="2" s="1"/>
  <c r="H32" i="1"/>
  <c r="F5" i="2"/>
  <c r="F15" i="2" s="1"/>
  <c r="P6" i="2" s="1"/>
  <c r="P7" i="2" s="1"/>
</calcChain>
</file>

<file path=xl/sharedStrings.xml><?xml version="1.0" encoding="utf-8"?>
<sst xmlns="http://schemas.openxmlformats.org/spreadsheetml/2006/main" count="705" uniqueCount="261">
  <si>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</si>
  <si>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</si>
  <si>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</si>
  <si>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</si>
  <si>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</si>
  <si>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Минеральные вещества, (мг)</t>
  </si>
  <si>
    <t>Б</t>
  </si>
  <si>
    <t>Ж</t>
  </si>
  <si>
    <t>У</t>
  </si>
  <si>
    <t>С</t>
  </si>
  <si>
    <t>Ca</t>
  </si>
  <si>
    <t>Mg</t>
  </si>
  <si>
    <t>Fe</t>
  </si>
  <si>
    <t>Завтрак</t>
  </si>
  <si>
    <t>Итого</t>
  </si>
  <si>
    <t>Обед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</si>
  <si>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</si>
  <si>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</si>
  <si>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</si>
  <si>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</si>
  <si>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</si>
  <si>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</si>
  <si>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</si>
  <si>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</si>
  <si>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</si>
  <si>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</si>
  <si>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</si>
  <si>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</si>
  <si>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</si>
  <si>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</si>
  <si>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</si>
  <si>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</si>
  <si>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</si>
  <si>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</si>
  <si>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</si>
  <si>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</si>
  <si>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</si>
  <si>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</si>
  <si>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</si>
  <si>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Среднее значение по группе:</t>
  </si>
  <si>
    <t>Библиография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</si>
  <si>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</si>
  <si>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</si>
  <si>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</si>
  <si>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</si>
  <si>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</si>
  <si>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</si>
  <si>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</si>
  <si>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</si>
  <si>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</si>
  <si>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</si>
  <si>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</si>
  <si>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</si>
  <si>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</si>
  <si>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</si>
  <si>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</si>
  <si>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</si>
  <si>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</si>
  <si>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</si>
  <si>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</si>
  <si>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</si>
  <si>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</si>
  <si>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</si>
  <si>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</si>
  <si>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</si>
  <si>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</si>
  <si>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</si>
  <si>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</si>
  <si>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</si>
  <si>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</si>
  <si>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</si>
  <si>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</si>
  <si>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</si>
  <si>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</si>
  <si>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</si>
  <si>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</si>
  <si>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</si>
  <si>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</si>
  <si>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</si>
  <si>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</si>
  <si>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</si>
  <si>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</si>
  <si>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Витамин С, мг</t>
  </si>
  <si>
    <t>Компот из сушеных фруктов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</si>
  <si>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</si>
  <si>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</si>
  <si>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</si>
  <si>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293[3]</t>
  </si>
  <si>
    <t>Салат из свежих огурцов*</t>
  </si>
  <si>
    <t xml:space="preserve">3.Сборник технологических карт, рецептур блюд кулинарных изделий для детского питания. – Уфа: ООО Фирма «Партнер» (части 1 и 2), 2015 </t>
  </si>
  <si>
    <t xml:space="preserve">*- Блюда в весенне-летний период </t>
  </si>
  <si>
    <t>Норма</t>
  </si>
  <si>
    <t>Отклонения</t>
  </si>
  <si>
    <t>Чай с сахаром</t>
  </si>
  <si>
    <t xml:space="preserve">завтрак </t>
  </si>
  <si>
    <t>2 завтрак</t>
  </si>
  <si>
    <t>ужин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</si>
  <si>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2011 .-544 с.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</si>
  <si>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640 с.</t>
  </si>
  <si>
    <t>5.Методические рекомендации по питанию детей в организованных коллективах.Часть 3 Сборник технологических карт,- Екатеринбург: ФБУН ЕМНЦ ПОЗРПП Роспотребнадзора, ФГБОУ ВО УрГЭУ,ФБУЗ ЦГ и Э в Свердловской области 2018.</t>
  </si>
  <si>
    <t xml:space="preserve">6.Организация питания в дошкольных образовательных учреждениях. – М, 2007 </t>
  </si>
  <si>
    <t>7. Справочник «Химический состав российских пищевых продуктов»/ Под ред. И. М. Скурихина, В. А. Тутельяна. – М. : ДеЛи принт, 2002. – 236 с.</t>
  </si>
  <si>
    <t>8.Справочник " Химический состав пищевых продуктов":Том1 / Под ред.И.М.Скурихин, М.Н.Волгарев- М.:Книга, 2016--222с.</t>
  </si>
  <si>
    <t>4.Сборник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</si>
  <si>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217[2]</t>
  </si>
  <si>
    <t>Кулеш с мясом (из смеси круп)</t>
  </si>
  <si>
    <t>132[6]</t>
  </si>
  <si>
    <t>418[2]</t>
  </si>
  <si>
    <t>36/1[5]</t>
  </si>
  <si>
    <t>Салат из отварной свеклы и яблок с растительным маслом</t>
  </si>
  <si>
    <t>86[2]</t>
  </si>
  <si>
    <t>317[2]</t>
  </si>
  <si>
    <t>306[2]</t>
  </si>
  <si>
    <t>Биточки паровые (свинина)</t>
  </si>
  <si>
    <t>334[2]</t>
  </si>
  <si>
    <t>Рис отварной с овощами</t>
  </si>
  <si>
    <t>394[2]</t>
  </si>
  <si>
    <t>405[2]</t>
  </si>
  <si>
    <t>Яблоки, фаршированные морковью</t>
  </si>
  <si>
    <t>273[2]</t>
  </si>
  <si>
    <t>Котлеты рыбные паровые (минтай)</t>
  </si>
  <si>
    <t>12/3[5]</t>
  </si>
  <si>
    <t>Капуста тушеная 2 вариант( без глютена)</t>
  </si>
  <si>
    <t>Компот из свежих плодов</t>
  </si>
  <si>
    <t>112[2]</t>
  </si>
  <si>
    <t>Суп-пюре из птицы</t>
  </si>
  <si>
    <t>12/1[5]</t>
  </si>
  <si>
    <t xml:space="preserve">Салат из белокочанной капусты с яблоками, морковью </t>
  </si>
  <si>
    <t>19/1[5]</t>
  </si>
  <si>
    <t>89/129[2]</t>
  </si>
  <si>
    <t>315[2]</t>
  </si>
  <si>
    <t xml:space="preserve">Голубцы ленивые </t>
  </si>
  <si>
    <t>403[2]</t>
  </si>
  <si>
    <t>Яблоки печеные</t>
  </si>
  <si>
    <t>55[2]</t>
  </si>
  <si>
    <t>Икра морковная</t>
  </si>
  <si>
    <t>308[2]</t>
  </si>
  <si>
    <t>Запеканка картофельная с печенью</t>
  </si>
  <si>
    <t>28/10[5]</t>
  </si>
  <si>
    <t>Напиток из чая с соком</t>
  </si>
  <si>
    <t>Кулеш с мясом (с гречневой крупой)</t>
  </si>
  <si>
    <t>63[2]</t>
  </si>
  <si>
    <t>322[2]</t>
  </si>
  <si>
    <t>Котлеты рубленные из птицы</t>
  </si>
  <si>
    <t>4/3[5]</t>
  </si>
  <si>
    <t>Пюре картофельное (без молока)</t>
  </si>
  <si>
    <t>Пюре из моркови и яблок</t>
  </si>
  <si>
    <t>21[2]</t>
  </si>
  <si>
    <t xml:space="preserve">Салат из белокочанной капусты с морковью </t>
  </si>
  <si>
    <t>239[1]</t>
  </si>
  <si>
    <t>Тефтели рыбные паровые</t>
  </si>
  <si>
    <t>348[2]</t>
  </si>
  <si>
    <t>Пюре из овощей</t>
  </si>
  <si>
    <t>Завтрак (22,2%)</t>
  </si>
  <si>
    <t>113[2]</t>
  </si>
  <si>
    <t>Суп-пюре из мяса</t>
  </si>
  <si>
    <t>21/1[5]</t>
  </si>
  <si>
    <t>Салат из свежих огурцов и томатов*</t>
  </si>
  <si>
    <t>83[2]</t>
  </si>
  <si>
    <t xml:space="preserve">Суп картофельный </t>
  </si>
  <si>
    <t>135[3]</t>
  </si>
  <si>
    <t>Плов из курицы (2 вариант)</t>
  </si>
  <si>
    <t>29/1[5]</t>
  </si>
  <si>
    <t>Салат из припущеной моркови с растительным маслом</t>
  </si>
  <si>
    <t>129[2]</t>
  </si>
  <si>
    <t>Фрикадельки мясные</t>
  </si>
  <si>
    <t>Пюре картофельное ( без молока)</t>
  </si>
  <si>
    <t xml:space="preserve">  Полдник (4,4%)</t>
  </si>
  <si>
    <t>Ужин (24,2%)</t>
  </si>
  <si>
    <t>Салат из припущенной моркови с растительным маслом</t>
  </si>
  <si>
    <t>73[4]</t>
  </si>
  <si>
    <t>Щи из свежей капусты с картофелем</t>
  </si>
  <si>
    <t>Борщ с картофелем</t>
  </si>
  <si>
    <t>275[1]</t>
  </si>
  <si>
    <t>Зразы из говядины, фаршированные рисом(паровые)</t>
  </si>
  <si>
    <t>Биточки рубленые из птицы</t>
  </si>
  <si>
    <t>Капуста тушеная 2 вариант (без глютена)</t>
  </si>
  <si>
    <t>Завтрак(22,6%)</t>
  </si>
  <si>
    <t>98[4]</t>
  </si>
  <si>
    <t>Суп крестьянский с крупой(рис)</t>
  </si>
  <si>
    <t>Биточки мясные (паровые)</t>
  </si>
  <si>
    <t>340[2]</t>
  </si>
  <si>
    <t>Пюре картофельное с морковью</t>
  </si>
  <si>
    <t>237[1]</t>
  </si>
  <si>
    <t>Зразы рыбные с рисом и луком</t>
  </si>
  <si>
    <t>143[1]</t>
  </si>
  <si>
    <t xml:space="preserve">Рагу из овощей </t>
  </si>
  <si>
    <t>Суп картофельный с крупой "Геркулес"</t>
  </si>
  <si>
    <t>Фрикадельки мясные из свинины</t>
  </si>
  <si>
    <t>30/1[5]</t>
  </si>
  <si>
    <t>Салат из припущенной моркови и яблок</t>
  </si>
  <si>
    <t>Запеканка картофельная с мясом</t>
  </si>
  <si>
    <t>325[2]</t>
  </si>
  <si>
    <t>Фрикадельки из птицы</t>
  </si>
  <si>
    <t>20/1[5]</t>
  </si>
  <si>
    <t>Салат из свежих томатов с маслом*</t>
  </si>
  <si>
    <t>2 завтрак (10,0%)</t>
  </si>
  <si>
    <t>Суп картофельный с крупой (рис)</t>
  </si>
  <si>
    <t>Горошница</t>
  </si>
  <si>
    <t>Завтрак (21,8%)</t>
  </si>
  <si>
    <t>Обед( 39,6%)</t>
  </si>
  <si>
    <t xml:space="preserve">  Полдник (4,3%)</t>
  </si>
  <si>
    <t xml:space="preserve">                                                                                                                                                        Приложение к основному десятидневному меню</t>
  </si>
  <si>
    <t>Салат из свежих  томатов с маслом*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</si>
  <si>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3-7 лет</t>
    </r>
  </si>
  <si>
    <t>170/40</t>
  </si>
  <si>
    <t>180/6</t>
  </si>
  <si>
    <t>Завтрак (22,1%)</t>
  </si>
  <si>
    <t>Завтрак 2(11,1%)</t>
  </si>
  <si>
    <t>Обед (43,5%)</t>
  </si>
  <si>
    <t>Полдник (4,1%)</t>
  </si>
  <si>
    <t>Ужин (19,0%)</t>
  </si>
  <si>
    <t>200/25</t>
  </si>
  <si>
    <t>Завтрак (22,8%)</t>
  </si>
  <si>
    <t>Завтрак  2 (11,8%)</t>
  </si>
  <si>
    <t>Обед ( 37,6%)</t>
  </si>
  <si>
    <t>Полдник (5,0%)</t>
  </si>
  <si>
    <t>Ужин (23,0%)</t>
  </si>
  <si>
    <t>Завтрак (19,3%)</t>
  </si>
  <si>
    <t>2 завтрак (9,7%)</t>
  </si>
  <si>
    <t>Обед ( 35,1%)</t>
  </si>
  <si>
    <t>Полдник (7,4%)</t>
  </si>
  <si>
    <t>Ужин (28,3%)</t>
  </si>
  <si>
    <t>Завтрак (23,5%)</t>
  </si>
  <si>
    <t>2 завтрак (10,7%)</t>
  </si>
  <si>
    <t>Обед (37,0%)</t>
  </si>
  <si>
    <t>Ужин (24,3%)</t>
  </si>
  <si>
    <t>Завтрак 2(11,4%)</t>
  </si>
  <si>
    <t>Обед(37,1%)</t>
  </si>
  <si>
    <t xml:space="preserve">  Полдник(4,3%)</t>
  </si>
  <si>
    <t>Ужин (24,6%)</t>
  </si>
  <si>
    <t>Завтрак(21,9%)</t>
  </si>
  <si>
    <t>2 завтрак(6,6%)</t>
  </si>
  <si>
    <t>Обед(39,3%)</t>
  </si>
  <si>
    <t>Полдник(8,3%)</t>
  </si>
  <si>
    <t>Ужин(24,0%)</t>
  </si>
  <si>
    <t>331[2]</t>
  </si>
  <si>
    <t>Каша вязкая (гречневая )</t>
  </si>
  <si>
    <t>Завтрак(24,2%)</t>
  </si>
  <si>
    <t>2 завтрак(11,0%)</t>
  </si>
  <si>
    <t>Обед(37,6%)</t>
  </si>
  <si>
    <t>Полдник(4,4%)</t>
  </si>
  <si>
    <t>Ужин(23,0%)</t>
  </si>
  <si>
    <t>Каша вязкая (рисовая)</t>
  </si>
  <si>
    <t>2 завтрак (11,2%)</t>
  </si>
  <si>
    <t>Полдник (4,2%)</t>
  </si>
  <si>
    <t>Ужин (25,2%)</t>
  </si>
  <si>
    <t>292[2]</t>
  </si>
  <si>
    <t>Жаркое по-домашнему</t>
  </si>
  <si>
    <t>Завтрак (19,0%)</t>
  </si>
  <si>
    <t>2 завтрак (9,8%)</t>
  </si>
  <si>
    <t>Обед (35,5%)</t>
  </si>
  <si>
    <t>Ужин (28,0%)</t>
  </si>
  <si>
    <t>Плоды свежие (груша)</t>
  </si>
  <si>
    <t>386[2]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</si>
  <si>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</si>
  <si>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Плоды свежие (яблоко)</t>
  </si>
  <si>
    <t>9.Сборник рецептур блюд и кулинарных изделий для организации питания воспитанников дошкольных организаций (от 1 до 7 лет). Сборник подготовлен: ФБУН «Новосибирский НИИ гигиены» Роспотребнадзора (И.И. Новикова, С.П. Романенко, М.А. Лобкис, П.А. Вейних, Г.П. Ивлева, А.В. Сорокина, М.В. Семенихина), Новосибирск – 2021.</t>
  </si>
  <si>
    <t>54-21г[9]</t>
  </si>
  <si>
    <t>54\14г[9]</t>
  </si>
  <si>
    <t>*Перед написанием  меню необходимо  ознакомиться с " МР2.4.0162-19.Гигиена детей и подростков. Особенности отганизации питания детей, страдающих сахарным диабетом и иными заболеваниями, сопровождающимися ограничениями в питании в образовательных и оздоровительных организациях. Методические рекомендации"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</si>
</sst>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2" fontId="6" fillId="0" borderId="0" xfId="0" applyNumberFormat="1" applyFont="1"/>
    <xf numFmtId="2" fontId="3" fillId="0" borderId="9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2" fontId="5" fillId="0" borderId="14" xfId="0" applyNumberFormat="1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center" vertical="top" wrapText="1"/>
    </xf>
    <xf numFmtId="1" fontId="5" fillId="0" borderId="14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2" fontId="9" fillId="0" borderId="14" xfId="0" applyNumberFormat="1" applyFont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10" fontId="6" fillId="0" borderId="0" xfId="0" applyNumberFormat="1" applyFont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" fontId="6" fillId="0" borderId="0" xfId="0" applyNumberFormat="1" applyFont="1"/>
    <xf numFmtId="0" fontId="6" fillId="0" borderId="14" xfId="0" applyFont="1" applyBorder="1"/>
    <xf numFmtId="2" fontId="12" fillId="2" borderId="0" xfId="0" applyNumberFormat="1" applyFont="1" applyFill="1"/>
    <xf numFmtId="2" fontId="3" fillId="0" borderId="0" xfId="0" applyNumberFormat="1" applyFont="1" applyAlignment="1">
      <alignment vertical="center"/>
    </xf>
    <xf numFmtId="2" fontId="11" fillId="2" borderId="0" xfId="0" applyNumberFormat="1" applyFont="1" applyFill="1"/>
    <xf numFmtId="1" fontId="12" fillId="2" borderId="0" xfId="0" applyNumberFormat="1" applyFont="1" applyFill="1"/>
    <xf numFmtId="2" fontId="12" fillId="2" borderId="0" xfId="0" applyNumberFormat="1" applyFont="1" applyFill="1" applyAlignment="1">
      <alignment horizontal="center" vertical="center"/>
    </xf>
    <xf numFmtId="2" fontId="12" fillId="0" borderId="0" xfId="0" applyNumberFormat="1" applyFont="1" applyAlignment="1">
      <alignment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top" wrapText="1"/>
    </xf>
    <xf numFmtId="1" fontId="11" fillId="2" borderId="0" xfId="0" applyNumberFormat="1" applyFont="1" applyFill="1" applyBorder="1" applyAlignment="1">
      <alignment horizontal="center" vertical="top" wrapText="1"/>
    </xf>
    <xf numFmtId="2" fontId="11" fillId="2" borderId="0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left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1" fontId="12" fillId="0" borderId="0" xfId="0" applyNumberFormat="1" applyFont="1" applyAlignment="1">
      <alignment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11" fillId="2" borderId="1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top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vertical="center"/>
    </xf>
    <xf numFmtId="1" fontId="11" fillId="2" borderId="2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11" fillId="2" borderId="23" xfId="0" applyNumberFormat="1" applyFont="1" applyFill="1" applyBorder="1" applyAlignment="1">
      <alignment horizontal="center" vertical="center" wrapText="1"/>
    </xf>
    <xf numFmtId="1" fontId="11" fillId="2" borderId="23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2" fontId="11" fillId="2" borderId="18" xfId="0" applyNumberFormat="1" applyFont="1" applyFill="1" applyBorder="1" applyAlignment="1">
      <alignment horizontal="center"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2" xfId="0" applyNumberFormat="1" applyFont="1" applyFill="1" applyBorder="1" applyAlignment="1">
      <alignment horizontal="center" wrapText="1"/>
    </xf>
    <xf numFmtId="1" fontId="11" fillId="2" borderId="3" xfId="0" applyNumberFormat="1" applyFont="1" applyFill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wrapText="1"/>
    </xf>
    <xf numFmtId="2" fontId="11" fillId="2" borderId="3" xfId="0" applyNumberFormat="1" applyFont="1" applyFill="1" applyBorder="1" applyAlignment="1">
      <alignment horizontal="center" wrapText="1"/>
    </xf>
    <xf numFmtId="2" fontId="7" fillId="0" borderId="0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14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abSelected="1" topLeftCell="B269" zoomScale="89" zoomScaleNormal="89" zoomScaleSheetLayoutView="70" workbookViewId="0">
      <selection activeCell="C288" sqref="C288"/>
    </sheetView>
  </sheetViews>
  <sheetFormatPr defaultColWidth="9.140625" defaultRowHeight="15.75" x14ac:dyDescent="0.25"/>
  <cols>
    <col min="1" max="1" width="0" style="35" hidden="1" customWidth="1"/>
    <col min="2" max="2" width="14.7109375" style="35" customWidth="1"/>
    <col min="3" max="3" width="80.42578125" style="35" customWidth="1"/>
    <col min="4" max="4" width="15.7109375" style="54" customWidth="1"/>
    <col min="5" max="5" width="11.28515625" style="35" customWidth="1"/>
    <col min="6" max="6" width="8.85546875" style="35" customWidth="1"/>
    <col min="7" max="7" width="11.85546875" style="35" customWidth="1"/>
    <col min="8" max="8" width="35.42578125" style="35" customWidth="1"/>
    <col min="9" max="9" width="14.42578125" style="35" customWidth="1"/>
    <col min="10" max="10" width="10.28515625" style="35" customWidth="1"/>
    <col min="11" max="11" width="10.7109375" style="35" customWidth="1"/>
    <col min="12" max="12" width="7.85546875" style="35" customWidth="1"/>
    <col min="13" max="16384" width="9.140625" style="35"/>
  </cols>
  <sheetData>
    <row r="1" spans="1:12" s="30" customFormat="1" x14ac:dyDescent="0.25">
      <c r="B1" s="31" t="s">
        <v>63</v>
      </c>
      <c r="C1" s="32" t="s">
        <v>202</v>
      </c>
      <c r="D1" s="33"/>
      <c r="E1" s="34"/>
      <c r="F1" s="34"/>
      <c r="G1" s="34"/>
      <c r="H1" s="34"/>
      <c r="I1" s="34"/>
      <c r="J1" s="34"/>
      <c r="K1" s="34"/>
      <c r="L1" s="34"/>
    </row>
    <row r="2" spans="1:12" s="30" customFormat="1" x14ac:dyDescent="0.25">
      <c r="B2" s="31" t="s">
        <v>64</v>
      </c>
      <c r="C2" s="32"/>
      <c r="D2" s="33"/>
      <c r="E2" s="34"/>
      <c r="F2" s="34"/>
      <c r="G2" s="34"/>
      <c r="H2" s="34"/>
      <c r="I2" s="34"/>
      <c r="J2" s="34"/>
      <c r="K2" s="34"/>
      <c r="L2" s="34"/>
    </row>
    <row r="3" spans="1:12" s="30" customFormat="1" x14ac:dyDescent="0.25">
      <c r="B3" s="31" t="s">
        <v>204</v>
      </c>
      <c r="C3" s="32"/>
      <c r="D3" s="33"/>
      <c r="E3" s="34"/>
      <c r="F3" s="34"/>
      <c r="G3" s="34"/>
      <c r="H3" s="34"/>
      <c r="I3" s="34"/>
      <c r="J3" s="34"/>
      <c r="K3" s="34"/>
      <c r="L3" s="34"/>
    </row>
    <row r="4" spans="1:12" ht="46.5" customHeight="1" x14ac:dyDescent="0.25">
      <c r="B4" s="142" t="s">
        <v>0</v>
      </c>
      <c r="C4" s="142" t="s">
        <v>1</v>
      </c>
      <c r="D4" s="149" t="s">
        <v>2</v>
      </c>
      <c r="E4" s="142" t="s">
        <v>3</v>
      </c>
      <c r="F4" s="142"/>
      <c r="G4" s="142"/>
      <c r="H4" s="142" t="s">
        <v>4</v>
      </c>
      <c r="I4" s="101" t="s">
        <v>82</v>
      </c>
      <c r="J4" s="142" t="s">
        <v>5</v>
      </c>
      <c r="K4" s="142"/>
      <c r="L4" s="142"/>
    </row>
    <row r="5" spans="1:12" ht="27.75" customHeight="1" x14ac:dyDescent="0.25">
      <c r="B5" s="142"/>
      <c r="C5" s="142"/>
      <c r="D5" s="149"/>
      <c r="E5" s="36" t="s">
        <v>6</v>
      </c>
      <c r="F5" s="36" t="s">
        <v>7</v>
      </c>
      <c r="G5" s="36" t="s">
        <v>8</v>
      </c>
      <c r="H5" s="142"/>
      <c r="I5" s="36" t="s">
        <v>9</v>
      </c>
      <c r="J5" s="36" t="s">
        <v>10</v>
      </c>
      <c r="K5" s="36" t="s">
        <v>11</v>
      </c>
      <c r="L5" s="36" t="s">
        <v>12</v>
      </c>
    </row>
    <row r="6" spans="1:12" x14ac:dyDescent="0.25">
      <c r="B6" s="142" t="s">
        <v>207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 ht="21" customHeight="1" x14ac:dyDescent="0.25">
      <c r="A7" s="35">
        <v>1</v>
      </c>
      <c r="B7" s="104" t="s">
        <v>104</v>
      </c>
      <c r="C7" s="22" t="s">
        <v>105</v>
      </c>
      <c r="D7" s="130" t="s">
        <v>205</v>
      </c>
      <c r="E7" s="38">
        <v>6.37</v>
      </c>
      <c r="F7" s="38">
        <v>10.4</v>
      </c>
      <c r="G7" s="38">
        <v>12.2</v>
      </c>
      <c r="H7" s="38">
        <v>168.4</v>
      </c>
      <c r="I7" s="38">
        <v>0.21</v>
      </c>
      <c r="J7" s="38">
        <v>14.8</v>
      </c>
      <c r="K7" s="38">
        <v>31.8</v>
      </c>
      <c r="L7" s="38">
        <v>1.23</v>
      </c>
    </row>
    <row r="8" spans="1:12" ht="20.100000000000001" customHeight="1" x14ac:dyDescent="0.25">
      <c r="A8" s="35">
        <v>1</v>
      </c>
      <c r="B8" s="104" t="s">
        <v>106</v>
      </c>
      <c r="C8" s="22" t="s">
        <v>93</v>
      </c>
      <c r="D8" s="69" t="s">
        <v>206</v>
      </c>
      <c r="E8" s="38">
        <v>0.01</v>
      </c>
      <c r="F8" s="38">
        <v>0.01</v>
      </c>
      <c r="G8" s="38">
        <v>5.99</v>
      </c>
      <c r="H8" s="38">
        <v>23.94</v>
      </c>
      <c r="I8" s="38">
        <v>0.02</v>
      </c>
      <c r="J8" s="38">
        <v>9.91</v>
      </c>
      <c r="K8" s="38">
        <v>1.3</v>
      </c>
      <c r="L8" s="38">
        <v>0.27</v>
      </c>
    </row>
    <row r="9" spans="1:12" ht="20.100000000000001" customHeight="1" x14ac:dyDescent="0.25">
      <c r="A9" s="35">
        <v>1</v>
      </c>
      <c r="B9" s="61"/>
      <c r="C9" s="61" t="s">
        <v>14</v>
      </c>
      <c r="D9" s="62">
        <v>396</v>
      </c>
      <c r="E9" s="61">
        <f t="shared" ref="E9:L9" si="0">SUM(E7:E8)</f>
        <v>6.38</v>
      </c>
      <c r="F9" s="105">
        <f t="shared" si="0"/>
        <v>10.41</v>
      </c>
      <c r="G9" s="105">
        <f t="shared" si="0"/>
        <v>18.189999999999998</v>
      </c>
      <c r="H9" s="105">
        <f t="shared" si="0"/>
        <v>192.34</v>
      </c>
      <c r="I9" s="105">
        <f t="shared" si="0"/>
        <v>0.22999999999999998</v>
      </c>
      <c r="J9" s="105">
        <f t="shared" si="0"/>
        <v>24.71</v>
      </c>
      <c r="K9" s="105">
        <f t="shared" si="0"/>
        <v>33.1</v>
      </c>
      <c r="L9" s="105">
        <f t="shared" si="0"/>
        <v>1.5</v>
      </c>
    </row>
    <row r="10" spans="1:12" ht="20.100000000000001" customHeight="1" x14ac:dyDescent="0.25">
      <c r="B10" s="142" t="s">
        <v>208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 ht="20.100000000000001" customHeight="1" x14ac:dyDescent="0.25">
      <c r="B11" s="61" t="s">
        <v>107</v>
      </c>
      <c r="C11" s="64" t="s">
        <v>84</v>
      </c>
      <c r="D11" s="62">
        <v>200</v>
      </c>
      <c r="E11" s="38">
        <v>1</v>
      </c>
      <c r="F11" s="38">
        <v>0</v>
      </c>
      <c r="G11" s="38">
        <v>20.2</v>
      </c>
      <c r="H11" s="38">
        <v>85.3</v>
      </c>
      <c r="I11" s="38">
        <v>4</v>
      </c>
      <c r="J11" s="38">
        <v>14</v>
      </c>
      <c r="K11" s="38">
        <v>8</v>
      </c>
      <c r="L11" s="38">
        <v>2.8</v>
      </c>
    </row>
    <row r="12" spans="1:12" ht="20.100000000000001" customHeight="1" x14ac:dyDescent="0.25">
      <c r="B12" s="36"/>
      <c r="C12" s="61" t="s">
        <v>14</v>
      </c>
      <c r="D12" s="37">
        <f>D11</f>
        <v>200</v>
      </c>
      <c r="E12" s="36">
        <f>E11</f>
        <v>1</v>
      </c>
      <c r="F12" s="103">
        <f t="shared" ref="F12:L12" si="1">F11</f>
        <v>0</v>
      </c>
      <c r="G12" s="103">
        <f t="shared" si="1"/>
        <v>20.2</v>
      </c>
      <c r="H12" s="103">
        <f t="shared" si="1"/>
        <v>85.3</v>
      </c>
      <c r="I12" s="103">
        <f t="shared" si="1"/>
        <v>4</v>
      </c>
      <c r="J12" s="103">
        <f t="shared" si="1"/>
        <v>14</v>
      </c>
      <c r="K12" s="103">
        <f t="shared" si="1"/>
        <v>8</v>
      </c>
      <c r="L12" s="103">
        <f t="shared" si="1"/>
        <v>2.8</v>
      </c>
    </row>
    <row r="13" spans="1:12" ht="15.95" customHeight="1" x14ac:dyDescent="0.25">
      <c r="A13" s="35">
        <v>1</v>
      </c>
      <c r="B13" s="142" t="s">
        <v>209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 ht="20.100000000000001" customHeight="1" x14ac:dyDescent="0.25">
      <c r="B14" s="104" t="s">
        <v>108</v>
      </c>
      <c r="C14" s="22" t="s">
        <v>109</v>
      </c>
      <c r="D14" s="37">
        <v>70</v>
      </c>
      <c r="E14" s="39">
        <v>0.8</v>
      </c>
      <c r="F14" s="39">
        <v>4.2</v>
      </c>
      <c r="G14" s="39">
        <v>7</v>
      </c>
      <c r="H14" s="39">
        <v>71</v>
      </c>
      <c r="I14" s="39">
        <v>2.4</v>
      </c>
      <c r="J14" s="39">
        <v>20.399999999999999</v>
      </c>
      <c r="K14" s="39">
        <v>11.3</v>
      </c>
      <c r="L14" s="39">
        <v>1</v>
      </c>
    </row>
    <row r="15" spans="1:12" s="65" customFormat="1" ht="20.100000000000001" customHeight="1" x14ac:dyDescent="0.25">
      <c r="B15" s="104" t="s">
        <v>110</v>
      </c>
      <c r="C15" s="64" t="s">
        <v>85</v>
      </c>
      <c r="D15" s="99">
        <v>250</v>
      </c>
      <c r="E15" s="68">
        <v>2.19</v>
      </c>
      <c r="F15" s="68">
        <v>2.84</v>
      </c>
      <c r="G15" s="68">
        <v>14.29</v>
      </c>
      <c r="H15" s="68">
        <v>91.5</v>
      </c>
      <c r="I15" s="68">
        <v>8.25</v>
      </c>
      <c r="J15" s="68">
        <v>26.1</v>
      </c>
      <c r="K15" s="68">
        <v>28.5</v>
      </c>
      <c r="L15" s="68">
        <v>1.3</v>
      </c>
    </row>
    <row r="16" spans="1:12" s="65" customFormat="1" ht="20.100000000000001" customHeight="1" x14ac:dyDescent="0.25">
      <c r="B16" s="98" t="s">
        <v>111</v>
      </c>
      <c r="C16" s="64" t="s">
        <v>86</v>
      </c>
      <c r="D16" s="99">
        <v>20</v>
      </c>
      <c r="E16" s="68">
        <v>4.22</v>
      </c>
      <c r="F16" s="68">
        <v>2.72</v>
      </c>
      <c r="G16" s="68">
        <v>0</v>
      </c>
      <c r="H16" s="68">
        <v>41.3</v>
      </c>
      <c r="I16" s="68">
        <v>0</v>
      </c>
      <c r="J16" s="68">
        <v>7.8</v>
      </c>
      <c r="K16" s="68">
        <v>4</v>
      </c>
      <c r="L16" s="68">
        <v>0.36</v>
      </c>
    </row>
    <row r="17" spans="1:12" ht="20.100000000000001" customHeight="1" x14ac:dyDescent="0.25">
      <c r="B17" s="55" t="s">
        <v>112</v>
      </c>
      <c r="C17" s="22" t="s">
        <v>113</v>
      </c>
      <c r="D17" s="62">
        <v>80</v>
      </c>
      <c r="E17" s="39">
        <v>8.6</v>
      </c>
      <c r="F17" s="39">
        <v>22.63</v>
      </c>
      <c r="G17" s="39">
        <v>1.23</v>
      </c>
      <c r="H17" s="39">
        <v>242.8</v>
      </c>
      <c r="I17" s="39">
        <v>1.5</v>
      </c>
      <c r="J17" s="39">
        <v>8.7799999999999994</v>
      </c>
      <c r="K17" s="39">
        <v>16.2</v>
      </c>
      <c r="L17" s="39">
        <v>1.1200000000000001</v>
      </c>
    </row>
    <row r="18" spans="1:12" ht="22.5" customHeight="1" x14ac:dyDescent="0.25">
      <c r="B18" s="104" t="s">
        <v>114</v>
      </c>
      <c r="C18" s="109" t="s">
        <v>115</v>
      </c>
      <c r="D18" s="58">
        <v>160</v>
      </c>
      <c r="E18" s="68">
        <v>2.78</v>
      </c>
      <c r="F18" s="68">
        <v>5.7</v>
      </c>
      <c r="G18" s="68">
        <v>22.2</v>
      </c>
      <c r="H18" s="68">
        <v>149</v>
      </c>
      <c r="I18" s="68">
        <v>0.5</v>
      </c>
      <c r="J18" s="68">
        <v>19.7</v>
      </c>
      <c r="K18" s="68">
        <v>44</v>
      </c>
      <c r="L18" s="68">
        <v>0.8</v>
      </c>
    </row>
    <row r="19" spans="1:12" ht="19.5" customHeight="1" x14ac:dyDescent="0.25">
      <c r="B19" s="47" t="s">
        <v>116</v>
      </c>
      <c r="C19" s="48" t="s">
        <v>83</v>
      </c>
      <c r="D19" s="49">
        <v>200</v>
      </c>
      <c r="E19" s="68">
        <v>0.44</v>
      </c>
      <c r="F19" s="68">
        <v>0.02</v>
      </c>
      <c r="G19" s="68">
        <v>21.1</v>
      </c>
      <c r="H19" s="68">
        <v>86.3</v>
      </c>
      <c r="I19" s="68">
        <v>0.4</v>
      </c>
      <c r="J19" s="68">
        <v>31.6</v>
      </c>
      <c r="K19" s="68">
        <v>6</v>
      </c>
      <c r="L19" s="68">
        <v>1.23</v>
      </c>
    </row>
    <row r="20" spans="1:12" ht="20.100000000000001" customHeight="1" x14ac:dyDescent="0.25">
      <c r="A20" s="35">
        <v>1</v>
      </c>
      <c r="B20" s="36"/>
      <c r="C20" s="36" t="s">
        <v>14</v>
      </c>
      <c r="D20" s="37">
        <f t="shared" ref="D20:L20" si="2">SUM(D14:D19)</f>
        <v>780</v>
      </c>
      <c r="E20" s="36">
        <f t="shared" si="2"/>
        <v>19.03</v>
      </c>
      <c r="F20" s="105">
        <f t="shared" si="2"/>
        <v>38.110000000000007</v>
      </c>
      <c r="G20" s="105">
        <f t="shared" si="2"/>
        <v>65.819999999999993</v>
      </c>
      <c r="H20" s="105">
        <f t="shared" si="2"/>
        <v>681.9</v>
      </c>
      <c r="I20" s="105">
        <f t="shared" si="2"/>
        <v>13.05</v>
      </c>
      <c r="J20" s="105">
        <f t="shared" si="2"/>
        <v>114.38</v>
      </c>
      <c r="K20" s="105">
        <f t="shared" si="2"/>
        <v>110</v>
      </c>
      <c r="L20" s="105">
        <f t="shared" si="2"/>
        <v>5.8100000000000005</v>
      </c>
    </row>
    <row r="21" spans="1:12" ht="20.100000000000001" customHeight="1" x14ac:dyDescent="0.25">
      <c r="A21" s="35">
        <v>1</v>
      </c>
      <c r="B21" s="142" t="s">
        <v>210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</row>
    <row r="22" spans="1:12" s="65" customFormat="1" ht="20.100000000000001" customHeight="1" x14ac:dyDescent="0.25">
      <c r="B22" s="104" t="s">
        <v>117</v>
      </c>
      <c r="C22" s="64" t="s">
        <v>118</v>
      </c>
      <c r="D22" s="69">
        <v>75</v>
      </c>
      <c r="E22" s="68">
        <v>0.51</v>
      </c>
      <c r="F22" s="68">
        <v>0.37</v>
      </c>
      <c r="G22" s="68">
        <v>13.1</v>
      </c>
      <c r="H22" s="68">
        <v>58.4</v>
      </c>
      <c r="I22" s="68">
        <v>3.4</v>
      </c>
      <c r="J22" s="68">
        <v>16.3</v>
      </c>
      <c r="K22" s="68">
        <v>11.1</v>
      </c>
      <c r="L22" s="68">
        <v>1.95</v>
      </c>
    </row>
    <row r="23" spans="1:12" s="65" customFormat="1" ht="20.100000000000001" customHeight="1" x14ac:dyDescent="0.25">
      <c r="B23" s="83"/>
      <c r="C23" s="113" t="s">
        <v>14</v>
      </c>
      <c r="D23" s="69">
        <v>75</v>
      </c>
      <c r="E23" s="83">
        <f t="shared" ref="E23:L23" si="3">SUM(E22)</f>
        <v>0.51</v>
      </c>
      <c r="F23" s="111">
        <f t="shared" si="3"/>
        <v>0.37</v>
      </c>
      <c r="G23" s="111">
        <f t="shared" si="3"/>
        <v>13.1</v>
      </c>
      <c r="H23" s="111">
        <f t="shared" si="3"/>
        <v>58.4</v>
      </c>
      <c r="I23" s="111">
        <f t="shared" si="3"/>
        <v>3.4</v>
      </c>
      <c r="J23" s="111">
        <f t="shared" si="3"/>
        <v>16.3</v>
      </c>
      <c r="K23" s="111">
        <f t="shared" si="3"/>
        <v>11.1</v>
      </c>
      <c r="L23" s="111">
        <f t="shared" si="3"/>
        <v>1.95</v>
      </c>
    </row>
    <row r="24" spans="1:12" s="65" customFormat="1" ht="20.100000000000001" customHeight="1" x14ac:dyDescent="0.25">
      <c r="B24" s="139" t="s">
        <v>211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1"/>
    </row>
    <row r="25" spans="1:12" s="65" customFormat="1" ht="20.100000000000001" customHeight="1" x14ac:dyDescent="0.25">
      <c r="B25" s="104" t="s">
        <v>119</v>
      </c>
      <c r="C25" s="64" t="s">
        <v>120</v>
      </c>
      <c r="D25" s="69">
        <v>80</v>
      </c>
      <c r="E25" s="68">
        <v>12.7</v>
      </c>
      <c r="F25" s="68">
        <v>4.26</v>
      </c>
      <c r="G25" s="68">
        <v>1.49</v>
      </c>
      <c r="H25" s="68">
        <v>95.4</v>
      </c>
      <c r="I25" s="68">
        <v>0.7</v>
      </c>
      <c r="J25" s="68">
        <v>28.4</v>
      </c>
      <c r="K25" s="68">
        <v>21.8</v>
      </c>
      <c r="L25" s="68">
        <v>0.65</v>
      </c>
    </row>
    <row r="26" spans="1:12" s="65" customFormat="1" ht="20.100000000000001" customHeight="1" x14ac:dyDescent="0.25">
      <c r="B26" s="83" t="s">
        <v>121</v>
      </c>
      <c r="C26" s="64" t="s">
        <v>122</v>
      </c>
      <c r="D26" s="69">
        <v>150</v>
      </c>
      <c r="E26" s="68">
        <v>3.2</v>
      </c>
      <c r="F26" s="68">
        <v>2.8</v>
      </c>
      <c r="G26" s="68">
        <v>11.9</v>
      </c>
      <c r="H26" s="68">
        <v>93</v>
      </c>
      <c r="I26" s="68">
        <v>31.2</v>
      </c>
      <c r="J26" s="68">
        <v>81.2</v>
      </c>
      <c r="K26" s="68">
        <v>46.5</v>
      </c>
      <c r="L26" s="68">
        <v>1</v>
      </c>
    </row>
    <row r="27" spans="1:12" s="65" customFormat="1" ht="20.100000000000001" customHeight="1" x14ac:dyDescent="0.25">
      <c r="B27" s="83" t="s">
        <v>87</v>
      </c>
      <c r="C27" s="64" t="s">
        <v>123</v>
      </c>
      <c r="D27" s="69">
        <v>200</v>
      </c>
      <c r="E27" s="68">
        <v>0.2</v>
      </c>
      <c r="F27" s="68">
        <v>0.1</v>
      </c>
      <c r="G27" s="68">
        <v>12.21</v>
      </c>
      <c r="H27" s="68">
        <v>49</v>
      </c>
      <c r="I27" s="68">
        <v>1.6</v>
      </c>
      <c r="J27" s="68">
        <v>5.88</v>
      </c>
      <c r="K27" s="68">
        <v>3.13</v>
      </c>
      <c r="L27" s="68">
        <v>0.79</v>
      </c>
    </row>
    <row r="28" spans="1:12" s="65" customFormat="1" ht="18" customHeight="1" x14ac:dyDescent="0.25">
      <c r="A28" s="65">
        <v>3</v>
      </c>
      <c r="B28" s="69" t="s">
        <v>254</v>
      </c>
      <c r="C28" s="64" t="s">
        <v>256</v>
      </c>
      <c r="D28" s="133">
        <v>120</v>
      </c>
      <c r="E28" s="68">
        <v>0.48</v>
      </c>
      <c r="F28" s="68">
        <v>0.48</v>
      </c>
      <c r="G28" s="68">
        <v>11.76</v>
      </c>
      <c r="H28" s="68">
        <v>56</v>
      </c>
      <c r="I28" s="68">
        <v>12</v>
      </c>
      <c r="J28" s="68">
        <v>19.2</v>
      </c>
      <c r="K28" s="68">
        <v>10.8</v>
      </c>
      <c r="L28" s="68">
        <v>2.64</v>
      </c>
    </row>
    <row r="29" spans="1:12" s="65" customFormat="1" ht="20.100000000000001" customHeight="1" x14ac:dyDescent="0.25">
      <c r="A29" s="65">
        <v>1</v>
      </c>
      <c r="B29" s="66"/>
      <c r="C29" s="113" t="s">
        <v>14</v>
      </c>
      <c r="D29" s="67">
        <f t="shared" ref="D29:L29" si="4">SUM(D25:D28)</f>
        <v>550</v>
      </c>
      <c r="E29" s="83">
        <f t="shared" si="4"/>
        <v>16.579999999999998</v>
      </c>
      <c r="F29" s="103">
        <f t="shared" si="4"/>
        <v>7.6399999999999988</v>
      </c>
      <c r="G29" s="103">
        <f t="shared" si="4"/>
        <v>37.36</v>
      </c>
      <c r="H29" s="103">
        <f t="shared" si="4"/>
        <v>293.39999999999998</v>
      </c>
      <c r="I29" s="103">
        <f t="shared" si="4"/>
        <v>45.5</v>
      </c>
      <c r="J29" s="103">
        <f t="shared" si="4"/>
        <v>134.67999999999998</v>
      </c>
      <c r="K29" s="103">
        <f t="shared" si="4"/>
        <v>82.22999999999999</v>
      </c>
      <c r="L29" s="103">
        <f t="shared" si="4"/>
        <v>5.08</v>
      </c>
    </row>
    <row r="30" spans="1:12" ht="20.100000000000001" customHeight="1" x14ac:dyDescent="0.25">
      <c r="A30" s="35">
        <v>1</v>
      </c>
      <c r="B30" s="119"/>
      <c r="C30" s="119" t="s">
        <v>16</v>
      </c>
      <c r="D30" s="121">
        <f>D9+D12+D20+D23+D29</f>
        <v>2001</v>
      </c>
      <c r="E30" s="119">
        <f t="shared" ref="E30:L30" si="5">+E9+E12+E20+E23+E29</f>
        <v>43.5</v>
      </c>
      <c r="F30" s="119">
        <f t="shared" si="5"/>
        <v>56.530000000000008</v>
      </c>
      <c r="G30" s="119">
        <f t="shared" si="5"/>
        <v>154.66999999999999</v>
      </c>
      <c r="H30" s="119">
        <f>+H9+H12+H20+H23+H29</f>
        <v>1311.34</v>
      </c>
      <c r="I30" s="119">
        <f t="shared" si="5"/>
        <v>66.180000000000007</v>
      </c>
      <c r="J30" s="119">
        <f t="shared" si="5"/>
        <v>304.07</v>
      </c>
      <c r="K30" s="119">
        <f t="shared" si="5"/>
        <v>244.42999999999998</v>
      </c>
      <c r="L30" s="119">
        <f t="shared" si="5"/>
        <v>17.14</v>
      </c>
    </row>
    <row r="31" spans="1:12" s="65" customFormat="1" ht="20.100000000000001" customHeight="1" x14ac:dyDescent="0.25">
      <c r="B31" s="122"/>
      <c r="C31" s="122" t="s">
        <v>91</v>
      </c>
      <c r="D31" s="123"/>
      <c r="E31" s="122">
        <v>54</v>
      </c>
      <c r="F31" s="122">
        <v>60</v>
      </c>
      <c r="G31" s="122">
        <v>261</v>
      </c>
      <c r="H31" s="122">
        <v>1800</v>
      </c>
      <c r="I31" s="122">
        <v>50</v>
      </c>
      <c r="J31" s="122">
        <v>900</v>
      </c>
      <c r="K31" s="122">
        <v>200</v>
      </c>
      <c r="L31" s="122">
        <v>10</v>
      </c>
    </row>
    <row r="32" spans="1:12" s="65" customFormat="1" ht="20.100000000000001" customHeight="1" x14ac:dyDescent="0.25">
      <c r="B32" s="124"/>
      <c r="C32" s="124" t="s">
        <v>92</v>
      </c>
      <c r="D32" s="125"/>
      <c r="E32" s="124">
        <f>ROUND(E30/E31*100-100,2)</f>
        <v>-19.440000000000001</v>
      </c>
      <c r="F32" s="124">
        <f t="shared" ref="F32:L32" si="6">ROUND(F30/F31*100-100,2)</f>
        <v>-5.78</v>
      </c>
      <c r="G32" s="124">
        <f t="shared" si="6"/>
        <v>-40.74</v>
      </c>
      <c r="H32" s="124">
        <f t="shared" si="6"/>
        <v>-27.15</v>
      </c>
      <c r="I32" s="124">
        <f t="shared" si="6"/>
        <v>32.36</v>
      </c>
      <c r="J32" s="124">
        <f t="shared" si="6"/>
        <v>-66.209999999999994</v>
      </c>
      <c r="K32" s="124">
        <f t="shared" si="6"/>
        <v>22.22</v>
      </c>
      <c r="L32" s="124">
        <f t="shared" si="6"/>
        <v>71.400000000000006</v>
      </c>
    </row>
    <row r="33" spans="1:12" s="30" customFormat="1" ht="15" customHeight="1" x14ac:dyDescent="0.25">
      <c r="B33" s="40"/>
      <c r="C33" s="40"/>
      <c r="D33" s="41"/>
      <c r="E33" s="42"/>
      <c r="F33" s="42"/>
      <c r="G33" s="42"/>
      <c r="H33" s="42"/>
      <c r="I33" s="42"/>
      <c r="J33" s="42"/>
      <c r="K33" s="42"/>
      <c r="L33" s="42"/>
    </row>
    <row r="34" spans="1:12" s="30" customFormat="1" ht="20.100000000000001" customHeight="1" x14ac:dyDescent="0.25">
      <c r="B34" s="31" t="s">
        <v>65</v>
      </c>
      <c r="C34" s="32"/>
      <c r="D34" s="41"/>
      <c r="E34" s="42"/>
      <c r="F34" s="42"/>
      <c r="G34" s="42"/>
      <c r="H34" s="42"/>
      <c r="I34" s="42"/>
      <c r="J34" s="42"/>
      <c r="K34" s="42"/>
      <c r="L34" s="42"/>
    </row>
    <row r="35" spans="1:12" s="30" customFormat="1" ht="20.100000000000001" customHeight="1" x14ac:dyDescent="0.25">
      <c r="B35" s="31" t="s">
        <v>64</v>
      </c>
      <c r="C35" s="32"/>
      <c r="D35" s="41"/>
      <c r="E35" s="42"/>
      <c r="F35" s="42"/>
      <c r="G35" s="42"/>
      <c r="H35" s="42"/>
      <c r="I35" s="42"/>
      <c r="J35" s="42"/>
      <c r="K35" s="42"/>
      <c r="L35" s="42"/>
    </row>
    <row r="36" spans="1:12" s="30" customFormat="1" x14ac:dyDescent="0.25">
      <c r="B36" s="31" t="s">
        <v>204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</row>
    <row r="37" spans="1:12" s="30" customFormat="1" ht="41.25" customHeight="1" x14ac:dyDescent="0.25">
      <c r="B37" s="143" t="s">
        <v>0</v>
      </c>
      <c r="C37" s="143" t="s">
        <v>1</v>
      </c>
      <c r="D37" s="144" t="s">
        <v>2</v>
      </c>
      <c r="E37" s="142" t="s">
        <v>3</v>
      </c>
      <c r="F37" s="142"/>
      <c r="G37" s="142"/>
      <c r="H37" s="142" t="s">
        <v>4</v>
      </c>
      <c r="I37" s="101"/>
      <c r="J37" s="142" t="s">
        <v>5</v>
      </c>
      <c r="K37" s="142"/>
      <c r="L37" s="142"/>
    </row>
    <row r="38" spans="1:12" s="30" customFormat="1" ht="41.25" customHeight="1" x14ac:dyDescent="0.25">
      <c r="B38" s="143"/>
      <c r="C38" s="143"/>
      <c r="D38" s="144"/>
      <c r="E38" s="36" t="s">
        <v>6</v>
      </c>
      <c r="F38" s="36" t="s">
        <v>7</v>
      </c>
      <c r="G38" s="36" t="s">
        <v>8</v>
      </c>
      <c r="H38" s="142"/>
      <c r="I38" s="36" t="s">
        <v>9</v>
      </c>
      <c r="J38" s="36" t="s">
        <v>10</v>
      </c>
      <c r="K38" s="36" t="s">
        <v>11</v>
      </c>
      <c r="L38" s="36" t="s">
        <v>12</v>
      </c>
    </row>
    <row r="39" spans="1:12" ht="20.100000000000001" customHeight="1" x14ac:dyDescent="0.25">
      <c r="A39" s="35">
        <v>2</v>
      </c>
      <c r="B39" s="142" t="s">
        <v>213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2" ht="26.45" customHeight="1" x14ac:dyDescent="0.25">
      <c r="A40" s="35">
        <v>2</v>
      </c>
      <c r="B40" s="106" t="s">
        <v>124</v>
      </c>
      <c r="C40" s="50" t="s">
        <v>125</v>
      </c>
      <c r="D40" s="69">
        <v>200</v>
      </c>
      <c r="E40" s="39">
        <v>7.8</v>
      </c>
      <c r="F40" s="39">
        <v>9.09</v>
      </c>
      <c r="G40" s="39">
        <v>10</v>
      </c>
      <c r="H40" s="39">
        <v>153</v>
      </c>
      <c r="I40" s="39">
        <v>0.56000000000000005</v>
      </c>
      <c r="J40" s="39">
        <v>85.1</v>
      </c>
      <c r="K40" s="39">
        <v>19.3</v>
      </c>
      <c r="L40" s="39">
        <v>0.6</v>
      </c>
    </row>
    <row r="41" spans="1:12" s="65" customFormat="1" ht="20.100000000000001" customHeight="1" x14ac:dyDescent="0.25">
      <c r="A41" s="65">
        <v>1</v>
      </c>
      <c r="B41" s="132" t="s">
        <v>106</v>
      </c>
      <c r="C41" s="64" t="s">
        <v>93</v>
      </c>
      <c r="D41" s="69" t="s">
        <v>206</v>
      </c>
      <c r="E41" s="38">
        <v>0.01</v>
      </c>
      <c r="F41" s="38">
        <v>0.01</v>
      </c>
      <c r="G41" s="38">
        <v>5.99</v>
      </c>
      <c r="H41" s="38">
        <v>23.94</v>
      </c>
      <c r="I41" s="38">
        <v>0.02</v>
      </c>
      <c r="J41" s="38">
        <v>9.91</v>
      </c>
      <c r="K41" s="38">
        <v>1.3</v>
      </c>
      <c r="L41" s="38">
        <v>0.27</v>
      </c>
    </row>
    <row r="42" spans="1:12" s="65" customFormat="1" ht="18" customHeight="1" x14ac:dyDescent="0.25">
      <c r="A42" s="65">
        <v>2</v>
      </c>
      <c r="B42" s="105"/>
      <c r="C42" s="105" t="s">
        <v>14</v>
      </c>
      <c r="D42" s="106">
        <v>386</v>
      </c>
      <c r="E42" s="105">
        <f t="shared" ref="E42:L42" si="7">SUM(E40:E41)</f>
        <v>7.81</v>
      </c>
      <c r="F42" s="105">
        <f t="shared" si="7"/>
        <v>9.1</v>
      </c>
      <c r="G42" s="105">
        <f t="shared" si="7"/>
        <v>15.99</v>
      </c>
      <c r="H42" s="105">
        <f t="shared" si="7"/>
        <v>176.94</v>
      </c>
      <c r="I42" s="105">
        <f t="shared" si="7"/>
        <v>0.58000000000000007</v>
      </c>
      <c r="J42" s="105">
        <f t="shared" si="7"/>
        <v>95.009999999999991</v>
      </c>
      <c r="K42" s="105">
        <f t="shared" si="7"/>
        <v>20.6</v>
      </c>
      <c r="L42" s="105">
        <f t="shared" si="7"/>
        <v>0.87</v>
      </c>
    </row>
    <row r="43" spans="1:12" s="65" customFormat="1" ht="18" customHeight="1" x14ac:dyDescent="0.25">
      <c r="B43" s="139" t="s">
        <v>214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1"/>
    </row>
    <row r="44" spans="1:12" s="65" customFormat="1" ht="20.100000000000001" customHeight="1" x14ac:dyDescent="0.25">
      <c r="B44" s="131" t="s">
        <v>107</v>
      </c>
      <c r="C44" s="64" t="s">
        <v>84</v>
      </c>
      <c r="D44" s="132">
        <v>200</v>
      </c>
      <c r="E44" s="38">
        <v>1</v>
      </c>
      <c r="F44" s="38">
        <v>0</v>
      </c>
      <c r="G44" s="38">
        <v>20.2</v>
      </c>
      <c r="H44" s="38">
        <v>85.3</v>
      </c>
      <c r="I44" s="38">
        <v>4</v>
      </c>
      <c r="J44" s="38">
        <v>14</v>
      </c>
      <c r="K44" s="38">
        <v>8</v>
      </c>
      <c r="L44" s="38">
        <v>2.8</v>
      </c>
    </row>
    <row r="45" spans="1:12" ht="18" customHeight="1" x14ac:dyDescent="0.25">
      <c r="A45" s="35">
        <v>2</v>
      </c>
      <c r="B45" s="105"/>
      <c r="C45" s="105" t="s">
        <v>14</v>
      </c>
      <c r="D45" s="106">
        <f>D44</f>
        <v>200</v>
      </c>
      <c r="E45" s="105">
        <f>E44</f>
        <v>1</v>
      </c>
      <c r="F45" s="105">
        <f t="shared" ref="F45:L45" si="8">F44</f>
        <v>0</v>
      </c>
      <c r="G45" s="105">
        <f t="shared" si="8"/>
        <v>20.2</v>
      </c>
      <c r="H45" s="105">
        <f t="shared" si="8"/>
        <v>85.3</v>
      </c>
      <c r="I45" s="105">
        <f t="shared" si="8"/>
        <v>4</v>
      </c>
      <c r="J45" s="105">
        <f t="shared" si="8"/>
        <v>14</v>
      </c>
      <c r="K45" s="105">
        <f t="shared" si="8"/>
        <v>8</v>
      </c>
      <c r="L45" s="105">
        <f t="shared" si="8"/>
        <v>2.8</v>
      </c>
    </row>
    <row r="46" spans="1:12" ht="18" customHeight="1" x14ac:dyDescent="0.25">
      <c r="A46" s="35">
        <v>2</v>
      </c>
      <c r="B46" s="139" t="s">
        <v>215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1"/>
    </row>
    <row r="47" spans="1:12" ht="18" customHeight="1" x14ac:dyDescent="0.25">
      <c r="A47" s="35">
        <v>2</v>
      </c>
      <c r="B47" s="105" t="s">
        <v>126</v>
      </c>
      <c r="C47" s="64" t="s">
        <v>127</v>
      </c>
      <c r="D47" s="106">
        <v>50</v>
      </c>
      <c r="E47" s="43">
        <v>0.7</v>
      </c>
      <c r="F47" s="43">
        <v>3</v>
      </c>
      <c r="G47" s="43">
        <v>3.9</v>
      </c>
      <c r="H47" s="43">
        <v>47</v>
      </c>
      <c r="I47" s="43">
        <v>17.399999999999999</v>
      </c>
      <c r="J47" s="43">
        <v>20.3</v>
      </c>
      <c r="K47" s="43">
        <v>14.25</v>
      </c>
      <c r="L47" s="43">
        <v>0.4</v>
      </c>
    </row>
    <row r="48" spans="1:12" ht="18" customHeight="1" x14ac:dyDescent="0.25">
      <c r="B48" s="105" t="s">
        <v>128</v>
      </c>
      <c r="C48" s="64" t="s">
        <v>88</v>
      </c>
      <c r="D48" s="106">
        <v>50</v>
      </c>
      <c r="E48" s="43">
        <v>0.4</v>
      </c>
      <c r="F48" s="43">
        <v>3</v>
      </c>
      <c r="G48" s="43">
        <v>1.2</v>
      </c>
      <c r="H48" s="43">
        <v>34</v>
      </c>
      <c r="I48" s="43">
        <v>4.5999999999999996</v>
      </c>
      <c r="J48" s="43">
        <v>11.5</v>
      </c>
      <c r="K48" s="43">
        <v>6.5</v>
      </c>
      <c r="L48" s="43">
        <v>0.3</v>
      </c>
    </row>
    <row r="49" spans="1:12" ht="18" customHeight="1" x14ac:dyDescent="0.25">
      <c r="B49" s="105"/>
      <c r="C49" s="64" t="s">
        <v>39</v>
      </c>
      <c r="D49" s="106"/>
      <c r="E49" s="110">
        <f>SUM(E47:E48)/2</f>
        <v>0.55000000000000004</v>
      </c>
      <c r="F49" s="110">
        <f t="shared" ref="F49:L49" si="9">SUM(F47:F48)/2</f>
        <v>3</v>
      </c>
      <c r="G49" s="110">
        <f t="shared" si="9"/>
        <v>2.5499999999999998</v>
      </c>
      <c r="H49" s="110">
        <f t="shared" si="9"/>
        <v>40.5</v>
      </c>
      <c r="I49" s="110">
        <f t="shared" si="9"/>
        <v>11</v>
      </c>
      <c r="J49" s="110">
        <f t="shared" si="9"/>
        <v>15.9</v>
      </c>
      <c r="K49" s="110">
        <f t="shared" si="9"/>
        <v>10.375</v>
      </c>
      <c r="L49" s="110">
        <f t="shared" si="9"/>
        <v>0.35</v>
      </c>
    </row>
    <row r="50" spans="1:12" s="65" customFormat="1" ht="17.45" customHeight="1" x14ac:dyDescent="0.25">
      <c r="B50" s="69" t="s">
        <v>129</v>
      </c>
      <c r="C50" s="64" t="s">
        <v>42</v>
      </c>
      <c r="D50" s="130" t="s">
        <v>212</v>
      </c>
      <c r="E50" s="43">
        <v>7.2</v>
      </c>
      <c r="F50" s="43">
        <v>13.57</v>
      </c>
      <c r="G50" s="43">
        <v>13.45</v>
      </c>
      <c r="H50" s="43">
        <v>206.3</v>
      </c>
      <c r="I50" s="43">
        <v>9</v>
      </c>
      <c r="J50" s="43">
        <v>25.8</v>
      </c>
      <c r="K50" s="43">
        <v>33</v>
      </c>
      <c r="L50" s="43">
        <v>1.51</v>
      </c>
    </row>
    <row r="51" spans="1:12" s="65" customFormat="1" ht="19.899999999999999" customHeight="1" x14ac:dyDescent="0.25">
      <c r="B51" s="69" t="s">
        <v>130</v>
      </c>
      <c r="C51" s="64" t="s">
        <v>131</v>
      </c>
      <c r="D51" s="106">
        <v>160</v>
      </c>
      <c r="E51" s="43">
        <v>7.4</v>
      </c>
      <c r="F51" s="43">
        <v>12.1</v>
      </c>
      <c r="G51" s="43">
        <v>14.4</v>
      </c>
      <c r="H51" s="43">
        <v>196.7</v>
      </c>
      <c r="I51" s="43">
        <v>16.399999999999999</v>
      </c>
      <c r="J51" s="43">
        <v>31.3</v>
      </c>
      <c r="K51" s="43">
        <v>25.3</v>
      </c>
      <c r="L51" s="43">
        <v>1</v>
      </c>
    </row>
    <row r="52" spans="1:12" s="65" customFormat="1" ht="17.45" customHeight="1" x14ac:dyDescent="0.25">
      <c r="B52" s="131" t="s">
        <v>87</v>
      </c>
      <c r="C52" s="64" t="s">
        <v>123</v>
      </c>
      <c r="D52" s="69">
        <v>200</v>
      </c>
      <c r="E52" s="68">
        <v>0.2</v>
      </c>
      <c r="F52" s="68">
        <v>0.1</v>
      </c>
      <c r="G52" s="68">
        <v>12.21</v>
      </c>
      <c r="H52" s="68">
        <v>49</v>
      </c>
      <c r="I52" s="68">
        <v>1.6</v>
      </c>
      <c r="J52" s="68">
        <v>5.88</v>
      </c>
      <c r="K52" s="68">
        <v>3.13</v>
      </c>
      <c r="L52" s="68">
        <v>0.79</v>
      </c>
    </row>
    <row r="53" spans="1:12" ht="18" customHeight="1" x14ac:dyDescent="0.25">
      <c r="A53" s="35">
        <v>2</v>
      </c>
      <c r="B53" s="36"/>
      <c r="C53" s="36" t="s">
        <v>14</v>
      </c>
      <c r="D53" s="37">
        <v>635</v>
      </c>
      <c r="E53" s="36">
        <f t="shared" ref="E53:L53" si="10">SUM(E49:E52)</f>
        <v>15.35</v>
      </c>
      <c r="F53" s="105">
        <f t="shared" si="10"/>
        <v>28.770000000000003</v>
      </c>
      <c r="G53" s="105">
        <f t="shared" si="10"/>
        <v>42.61</v>
      </c>
      <c r="H53" s="105">
        <f t="shared" si="10"/>
        <v>492.5</v>
      </c>
      <c r="I53" s="105">
        <f t="shared" si="10"/>
        <v>38</v>
      </c>
      <c r="J53" s="105">
        <f t="shared" si="10"/>
        <v>78.88</v>
      </c>
      <c r="K53" s="105">
        <f t="shared" si="10"/>
        <v>71.804999999999993</v>
      </c>
      <c r="L53" s="105">
        <f t="shared" si="10"/>
        <v>3.65</v>
      </c>
    </row>
    <row r="54" spans="1:12" ht="18" customHeight="1" x14ac:dyDescent="0.25">
      <c r="B54" s="142" t="s">
        <v>216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</row>
    <row r="55" spans="1:12" s="65" customFormat="1" ht="18" customHeight="1" x14ac:dyDescent="0.25">
      <c r="B55" s="83" t="s">
        <v>132</v>
      </c>
      <c r="C55" s="64" t="s">
        <v>133</v>
      </c>
      <c r="D55" s="69">
        <v>80</v>
      </c>
      <c r="E55" s="87">
        <v>0.32</v>
      </c>
      <c r="F55" s="87">
        <v>0.32</v>
      </c>
      <c r="G55" s="87">
        <v>24.8</v>
      </c>
      <c r="H55" s="44">
        <v>104</v>
      </c>
      <c r="I55" s="87">
        <v>3.3</v>
      </c>
      <c r="J55" s="87">
        <v>13.1</v>
      </c>
      <c r="K55" s="87">
        <v>7</v>
      </c>
      <c r="L55" s="87">
        <v>1.7</v>
      </c>
    </row>
    <row r="56" spans="1:12" s="65" customFormat="1" ht="18" customHeight="1" x14ac:dyDescent="0.25">
      <c r="B56" s="83"/>
      <c r="C56" s="113" t="s">
        <v>14</v>
      </c>
      <c r="D56" s="69">
        <f t="shared" ref="D56:L56" si="11">SUM(D55)</f>
        <v>80</v>
      </c>
      <c r="E56" s="86">
        <f t="shared" si="11"/>
        <v>0.32</v>
      </c>
      <c r="F56" s="86">
        <f t="shared" si="11"/>
        <v>0.32</v>
      </c>
      <c r="G56" s="86">
        <f t="shared" si="11"/>
        <v>24.8</v>
      </c>
      <c r="H56" s="86">
        <f t="shared" si="11"/>
        <v>104</v>
      </c>
      <c r="I56" s="86">
        <f t="shared" si="11"/>
        <v>3.3</v>
      </c>
      <c r="J56" s="86">
        <f t="shared" si="11"/>
        <v>13.1</v>
      </c>
      <c r="K56" s="86">
        <f t="shared" si="11"/>
        <v>7</v>
      </c>
      <c r="L56" s="86">
        <f t="shared" si="11"/>
        <v>1.7</v>
      </c>
    </row>
    <row r="57" spans="1:12" s="65" customFormat="1" ht="18" customHeight="1" x14ac:dyDescent="0.25">
      <c r="B57" s="139" t="s">
        <v>217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41"/>
    </row>
    <row r="58" spans="1:12" s="65" customFormat="1" ht="18.75" customHeight="1" x14ac:dyDescent="0.25">
      <c r="B58" s="83" t="s">
        <v>134</v>
      </c>
      <c r="C58" s="94" t="s">
        <v>135</v>
      </c>
      <c r="D58" s="69">
        <v>50</v>
      </c>
      <c r="E58" s="44">
        <v>1.1000000000000001</v>
      </c>
      <c r="F58" s="44">
        <v>2.2999999999999998</v>
      </c>
      <c r="G58" s="44">
        <v>5.44</v>
      </c>
      <c r="H58" s="44">
        <v>46.85</v>
      </c>
      <c r="I58" s="44">
        <v>2.56</v>
      </c>
      <c r="J58" s="44">
        <v>15.32</v>
      </c>
      <c r="K58" s="44">
        <v>20.64</v>
      </c>
      <c r="L58" s="44">
        <v>0.61</v>
      </c>
    </row>
    <row r="59" spans="1:12" ht="19.149999999999999" customHeight="1" x14ac:dyDescent="0.25">
      <c r="B59" s="92" t="s">
        <v>136</v>
      </c>
      <c r="C59" s="45" t="s">
        <v>137</v>
      </c>
      <c r="D59" s="46">
        <v>160</v>
      </c>
      <c r="E59" s="44">
        <v>6.5</v>
      </c>
      <c r="F59" s="44">
        <v>3.7</v>
      </c>
      <c r="G59" s="44">
        <v>14.4</v>
      </c>
      <c r="H59" s="44">
        <v>117</v>
      </c>
      <c r="I59" s="44">
        <v>8.68</v>
      </c>
      <c r="J59" s="44">
        <v>13</v>
      </c>
      <c r="K59" s="44">
        <v>25.6</v>
      </c>
      <c r="L59" s="44">
        <v>2.58</v>
      </c>
    </row>
    <row r="60" spans="1:12" s="65" customFormat="1" ht="18" customHeight="1" x14ac:dyDescent="0.25">
      <c r="B60" s="105" t="s">
        <v>138</v>
      </c>
      <c r="C60" s="45" t="s">
        <v>139</v>
      </c>
      <c r="D60" s="46">
        <v>180</v>
      </c>
      <c r="E60" s="44">
        <v>0.5</v>
      </c>
      <c r="F60" s="44">
        <v>0.12</v>
      </c>
      <c r="G60" s="44">
        <v>13.3</v>
      </c>
      <c r="H60" s="44">
        <v>55</v>
      </c>
      <c r="I60" s="44">
        <v>0.7</v>
      </c>
      <c r="J60" s="44">
        <v>6.2</v>
      </c>
      <c r="K60" s="44">
        <v>3.42</v>
      </c>
      <c r="L60" s="44">
        <v>1.2</v>
      </c>
    </row>
    <row r="61" spans="1:12" s="65" customFormat="1" ht="18" customHeight="1" x14ac:dyDescent="0.25">
      <c r="A61" s="65">
        <v>3</v>
      </c>
      <c r="B61" s="69" t="s">
        <v>254</v>
      </c>
      <c r="C61" s="64" t="s">
        <v>253</v>
      </c>
      <c r="D61" s="133">
        <v>100</v>
      </c>
      <c r="E61" s="68">
        <v>0.4</v>
      </c>
      <c r="F61" s="68">
        <v>0.3</v>
      </c>
      <c r="G61" s="68">
        <v>10.3</v>
      </c>
      <c r="H61" s="68">
        <v>46</v>
      </c>
      <c r="I61" s="68">
        <v>5</v>
      </c>
      <c r="J61" s="68">
        <v>19</v>
      </c>
      <c r="K61" s="68">
        <v>12</v>
      </c>
      <c r="L61" s="68">
        <v>2.2999999999999998</v>
      </c>
    </row>
    <row r="62" spans="1:12" ht="18" customHeight="1" x14ac:dyDescent="0.25">
      <c r="A62" s="35">
        <v>2</v>
      </c>
      <c r="B62" s="39"/>
      <c r="C62" s="36" t="s">
        <v>14</v>
      </c>
      <c r="D62" s="37">
        <f t="shared" ref="D62:L62" si="12">SUM(D58:D61)</f>
        <v>490</v>
      </c>
      <c r="E62" s="36">
        <f t="shared" si="12"/>
        <v>8.5</v>
      </c>
      <c r="F62" s="105">
        <f t="shared" si="12"/>
        <v>6.42</v>
      </c>
      <c r="G62" s="105">
        <f t="shared" si="12"/>
        <v>43.44</v>
      </c>
      <c r="H62" s="105">
        <f t="shared" si="12"/>
        <v>264.85000000000002</v>
      </c>
      <c r="I62" s="105">
        <f t="shared" si="12"/>
        <v>16.939999999999998</v>
      </c>
      <c r="J62" s="105">
        <f t="shared" si="12"/>
        <v>53.52</v>
      </c>
      <c r="K62" s="105">
        <f t="shared" si="12"/>
        <v>61.660000000000004</v>
      </c>
      <c r="L62" s="105">
        <f t="shared" si="12"/>
        <v>6.6899999999999995</v>
      </c>
    </row>
    <row r="63" spans="1:12" ht="18" customHeight="1" x14ac:dyDescent="0.25">
      <c r="A63" s="35">
        <v>2</v>
      </c>
      <c r="B63" s="39"/>
      <c r="C63" s="36" t="s">
        <v>17</v>
      </c>
      <c r="D63" s="37">
        <f>D62+D56+D53+D45+D42</f>
        <v>1791</v>
      </c>
      <c r="E63" s="36">
        <f t="shared" ref="E63:L63" si="13">E42+E45+E53+E56+E62</f>
        <v>32.979999999999997</v>
      </c>
      <c r="F63" s="83">
        <f t="shared" si="13"/>
        <v>44.610000000000007</v>
      </c>
      <c r="G63" s="83">
        <f t="shared" si="13"/>
        <v>147.04</v>
      </c>
      <c r="H63" s="83">
        <f>H42+H45+H53+H56+H62</f>
        <v>1123.5900000000001</v>
      </c>
      <c r="I63" s="83">
        <f t="shared" si="13"/>
        <v>62.819999999999993</v>
      </c>
      <c r="J63" s="83">
        <f t="shared" si="13"/>
        <v>254.51</v>
      </c>
      <c r="K63" s="83">
        <f t="shared" si="13"/>
        <v>169.065</v>
      </c>
      <c r="L63" s="83">
        <f t="shared" si="13"/>
        <v>15.709999999999999</v>
      </c>
    </row>
    <row r="64" spans="1:12" s="65" customFormat="1" ht="20.100000000000001" customHeight="1" x14ac:dyDescent="0.25">
      <c r="B64" s="122"/>
      <c r="C64" s="122" t="s">
        <v>91</v>
      </c>
      <c r="D64" s="123"/>
      <c r="E64" s="122">
        <v>54</v>
      </c>
      <c r="F64" s="122">
        <v>60</v>
      </c>
      <c r="G64" s="122">
        <v>261</v>
      </c>
      <c r="H64" s="122">
        <v>1800</v>
      </c>
      <c r="I64" s="122">
        <v>50</v>
      </c>
      <c r="J64" s="122">
        <v>900</v>
      </c>
      <c r="K64" s="122">
        <v>200</v>
      </c>
      <c r="L64" s="122">
        <v>10</v>
      </c>
    </row>
    <row r="65" spans="1:12" s="65" customFormat="1" ht="20.100000000000001" customHeight="1" x14ac:dyDescent="0.25">
      <c r="B65" s="124"/>
      <c r="C65" s="124" t="s">
        <v>92</v>
      </c>
      <c r="D65" s="125"/>
      <c r="E65" s="124">
        <f>ROUND(E63/E64*100-100,2)</f>
        <v>-38.93</v>
      </c>
      <c r="F65" s="124">
        <f t="shared" ref="F65:L65" si="14">ROUND(F63/F64*100-100,2)</f>
        <v>-25.65</v>
      </c>
      <c r="G65" s="124">
        <f t="shared" si="14"/>
        <v>-43.66</v>
      </c>
      <c r="H65" s="124">
        <f t="shared" si="14"/>
        <v>-37.58</v>
      </c>
      <c r="I65" s="124">
        <f t="shared" si="14"/>
        <v>25.64</v>
      </c>
      <c r="J65" s="124">
        <f t="shared" si="14"/>
        <v>-71.72</v>
      </c>
      <c r="K65" s="124">
        <f t="shared" si="14"/>
        <v>-15.47</v>
      </c>
      <c r="L65" s="124">
        <f t="shared" si="14"/>
        <v>57.1</v>
      </c>
    </row>
    <row r="66" spans="1:12" s="30" customFormat="1" ht="20.100000000000001" customHeight="1" x14ac:dyDescent="0.25">
      <c r="B66" s="31" t="s">
        <v>66</v>
      </c>
      <c r="C66" s="32"/>
      <c r="D66" s="41"/>
      <c r="E66" s="42"/>
      <c r="F66" s="42"/>
      <c r="G66" s="42"/>
      <c r="H66" s="42"/>
      <c r="I66" s="42"/>
      <c r="J66" s="42"/>
      <c r="K66" s="42"/>
      <c r="L66" s="42"/>
    </row>
    <row r="67" spans="1:12" s="30" customFormat="1" ht="20.100000000000001" customHeight="1" x14ac:dyDescent="0.25">
      <c r="B67" s="31" t="s">
        <v>64</v>
      </c>
      <c r="C67" s="32"/>
      <c r="D67" s="41"/>
      <c r="E67" s="42"/>
      <c r="F67" s="42"/>
      <c r="G67" s="42"/>
      <c r="H67" s="42"/>
      <c r="I67" s="42"/>
      <c r="J67" s="42"/>
      <c r="K67" s="42"/>
      <c r="L67" s="42"/>
    </row>
    <row r="68" spans="1:12" s="30" customFormat="1" x14ac:dyDescent="0.25">
      <c r="B68" s="31" t="s">
        <v>204</v>
      </c>
      <c r="C68" s="32"/>
      <c r="D68" s="33"/>
      <c r="E68" s="34"/>
      <c r="F68" s="34"/>
      <c r="G68" s="34"/>
      <c r="H68" s="34"/>
      <c r="I68" s="34"/>
      <c r="J68" s="34"/>
      <c r="K68" s="34"/>
      <c r="L68" s="34"/>
    </row>
    <row r="69" spans="1:12" s="30" customFormat="1" ht="27" customHeight="1" x14ac:dyDescent="0.25">
      <c r="B69" s="143" t="s">
        <v>0</v>
      </c>
      <c r="C69" s="143" t="s">
        <v>1</v>
      </c>
      <c r="D69" s="144" t="s">
        <v>2</v>
      </c>
      <c r="E69" s="142" t="s">
        <v>3</v>
      </c>
      <c r="F69" s="142"/>
      <c r="G69" s="142"/>
      <c r="H69" s="142" t="s">
        <v>4</v>
      </c>
      <c r="I69" s="101"/>
      <c r="J69" s="142" t="s">
        <v>5</v>
      </c>
      <c r="K69" s="142"/>
      <c r="L69" s="142"/>
    </row>
    <row r="70" spans="1:12" s="30" customFormat="1" ht="37.5" customHeight="1" x14ac:dyDescent="0.25">
      <c r="B70" s="143"/>
      <c r="C70" s="143"/>
      <c r="D70" s="144"/>
      <c r="E70" s="36" t="s">
        <v>6</v>
      </c>
      <c r="F70" s="36" t="s">
        <v>7</v>
      </c>
      <c r="G70" s="36" t="s">
        <v>8</v>
      </c>
      <c r="H70" s="142"/>
      <c r="I70" s="36" t="s">
        <v>9</v>
      </c>
      <c r="J70" s="36" t="s">
        <v>10</v>
      </c>
      <c r="K70" s="36" t="s">
        <v>11</v>
      </c>
      <c r="L70" s="36" t="s">
        <v>12</v>
      </c>
    </row>
    <row r="71" spans="1:12" ht="18" customHeight="1" x14ac:dyDescent="0.25">
      <c r="A71" s="35">
        <v>3</v>
      </c>
      <c r="B71" s="142" t="s">
        <v>218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</row>
    <row r="72" spans="1:12" ht="30.6" customHeight="1" x14ac:dyDescent="0.25">
      <c r="A72" s="35">
        <v>3</v>
      </c>
      <c r="B72" s="36"/>
      <c r="C72" s="22"/>
      <c r="D72" s="69"/>
      <c r="E72" s="38"/>
      <c r="F72" s="38"/>
      <c r="G72" s="38"/>
      <c r="H72" s="38"/>
      <c r="I72" s="38"/>
      <c r="J72" s="38"/>
      <c r="K72" s="38"/>
      <c r="L72" s="38"/>
    </row>
    <row r="73" spans="1:12" ht="19.149999999999999" customHeight="1" x14ac:dyDescent="0.25">
      <c r="A73" s="35">
        <v>3</v>
      </c>
      <c r="B73" s="51" t="s">
        <v>104</v>
      </c>
      <c r="C73" s="22" t="s">
        <v>140</v>
      </c>
      <c r="D73" s="130" t="s">
        <v>205</v>
      </c>
      <c r="E73" s="38">
        <v>6.41</v>
      </c>
      <c r="F73" s="38">
        <v>9.8000000000000007</v>
      </c>
      <c r="G73" s="38">
        <v>11.8</v>
      </c>
      <c r="H73" s="38">
        <v>161.80000000000001</v>
      </c>
      <c r="I73" s="38">
        <v>0.21</v>
      </c>
      <c r="J73" s="38">
        <v>7.49</v>
      </c>
      <c r="K73" s="38">
        <v>45.9</v>
      </c>
      <c r="L73" s="38">
        <v>1.64</v>
      </c>
    </row>
    <row r="74" spans="1:12" s="65" customFormat="1" ht="20.100000000000001" customHeight="1" x14ac:dyDescent="0.25">
      <c r="A74" s="65">
        <v>1</v>
      </c>
      <c r="B74" s="132" t="s">
        <v>106</v>
      </c>
      <c r="C74" s="64" t="s">
        <v>93</v>
      </c>
      <c r="D74" s="69" t="s">
        <v>206</v>
      </c>
      <c r="E74" s="38">
        <v>0.01</v>
      </c>
      <c r="F74" s="38">
        <v>0.01</v>
      </c>
      <c r="G74" s="38">
        <v>5.99</v>
      </c>
      <c r="H74" s="38">
        <v>23.94</v>
      </c>
      <c r="I74" s="38">
        <v>0.02</v>
      </c>
      <c r="J74" s="38">
        <v>9.91</v>
      </c>
      <c r="K74" s="38">
        <v>1.3</v>
      </c>
      <c r="L74" s="38">
        <v>0.27</v>
      </c>
    </row>
    <row r="75" spans="1:12" s="65" customFormat="1" ht="18" customHeight="1" x14ac:dyDescent="0.25">
      <c r="A75" s="65">
        <v>3</v>
      </c>
      <c r="B75" s="66"/>
      <c r="C75" s="66" t="s">
        <v>14</v>
      </c>
      <c r="D75" s="75">
        <v>396</v>
      </c>
      <c r="E75" s="66">
        <f t="shared" ref="E75:L75" si="15">SUM(E73:E74)</f>
        <v>6.42</v>
      </c>
      <c r="F75" s="107">
        <f t="shared" si="15"/>
        <v>9.81</v>
      </c>
      <c r="G75" s="107">
        <f t="shared" si="15"/>
        <v>17.79</v>
      </c>
      <c r="H75" s="107">
        <f t="shared" si="15"/>
        <v>185.74</v>
      </c>
      <c r="I75" s="107">
        <f t="shared" si="15"/>
        <v>0.22999999999999998</v>
      </c>
      <c r="J75" s="107">
        <f t="shared" si="15"/>
        <v>17.399999999999999</v>
      </c>
      <c r="K75" s="107">
        <f t="shared" si="15"/>
        <v>47.199999999999996</v>
      </c>
      <c r="L75" s="107">
        <f t="shared" si="15"/>
        <v>1.91</v>
      </c>
    </row>
    <row r="76" spans="1:12" s="65" customFormat="1" ht="18" customHeight="1" x14ac:dyDescent="0.25">
      <c r="B76" s="139" t="s">
        <v>219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1"/>
    </row>
    <row r="77" spans="1:12" s="65" customFormat="1" ht="20.100000000000001" customHeight="1" x14ac:dyDescent="0.25">
      <c r="B77" s="131" t="s">
        <v>107</v>
      </c>
      <c r="C77" s="64" t="s">
        <v>84</v>
      </c>
      <c r="D77" s="132">
        <v>200</v>
      </c>
      <c r="E77" s="38">
        <v>1</v>
      </c>
      <c r="F77" s="38">
        <v>0</v>
      </c>
      <c r="G77" s="38">
        <v>20.2</v>
      </c>
      <c r="H77" s="38">
        <v>85.3</v>
      </c>
      <c r="I77" s="38">
        <v>4</v>
      </c>
      <c r="J77" s="38">
        <v>14</v>
      </c>
      <c r="K77" s="38">
        <v>8</v>
      </c>
      <c r="L77" s="38">
        <v>2.8</v>
      </c>
    </row>
    <row r="78" spans="1:12" ht="18" customHeight="1" x14ac:dyDescent="0.25">
      <c r="B78" s="66"/>
      <c r="C78" s="113" t="s">
        <v>14</v>
      </c>
      <c r="D78" s="37">
        <f>D77</f>
        <v>200</v>
      </c>
      <c r="E78" s="51">
        <f>E77</f>
        <v>1</v>
      </c>
      <c r="F78" s="51">
        <f t="shared" ref="F78:L78" si="16">F77</f>
        <v>0</v>
      </c>
      <c r="G78" s="51">
        <f t="shared" si="16"/>
        <v>20.2</v>
      </c>
      <c r="H78" s="51">
        <f t="shared" si="16"/>
        <v>85.3</v>
      </c>
      <c r="I78" s="51">
        <f t="shared" si="16"/>
        <v>4</v>
      </c>
      <c r="J78" s="51">
        <f t="shared" si="16"/>
        <v>14</v>
      </c>
      <c r="K78" s="51">
        <f t="shared" si="16"/>
        <v>8</v>
      </c>
      <c r="L78" s="51">
        <f t="shared" si="16"/>
        <v>2.8</v>
      </c>
    </row>
    <row r="79" spans="1:12" ht="18" customHeight="1" x14ac:dyDescent="0.25">
      <c r="A79" s="35">
        <v>3</v>
      </c>
      <c r="B79" s="142" t="s">
        <v>220</v>
      </c>
      <c r="C79" s="142"/>
      <c r="D79" s="142"/>
      <c r="E79" s="142"/>
      <c r="F79" s="142"/>
      <c r="G79" s="142"/>
      <c r="H79" s="142"/>
      <c r="I79" s="142"/>
      <c r="J79" s="142"/>
      <c r="K79" s="142"/>
      <c r="L79" s="142"/>
    </row>
    <row r="80" spans="1:12" s="65" customFormat="1" ht="18" customHeight="1" x14ac:dyDescent="0.25">
      <c r="B80" s="69" t="s">
        <v>162</v>
      </c>
      <c r="C80" s="64" t="s">
        <v>169</v>
      </c>
      <c r="D80" s="69">
        <v>70</v>
      </c>
      <c r="E80" s="38">
        <v>0.8</v>
      </c>
      <c r="F80" s="38">
        <v>4.2</v>
      </c>
      <c r="G80" s="38">
        <v>6.2</v>
      </c>
      <c r="H80" s="38">
        <v>68</v>
      </c>
      <c r="I80" s="38">
        <v>1.1000000000000001</v>
      </c>
      <c r="J80" s="38">
        <v>16.899999999999999</v>
      </c>
      <c r="K80" s="38">
        <v>23.6</v>
      </c>
      <c r="L80" s="38">
        <v>0.4</v>
      </c>
    </row>
    <row r="81" spans="1:12" ht="18" customHeight="1" x14ac:dyDescent="0.25">
      <c r="B81" s="66" t="s">
        <v>170</v>
      </c>
      <c r="C81" s="22" t="s">
        <v>171</v>
      </c>
      <c r="D81" s="69">
        <v>250</v>
      </c>
      <c r="E81" s="68">
        <v>1.74</v>
      </c>
      <c r="F81" s="68">
        <v>4.8899999999999997</v>
      </c>
      <c r="G81" s="68">
        <v>8.48</v>
      </c>
      <c r="H81" s="68">
        <v>84.75</v>
      </c>
      <c r="I81" s="68">
        <v>18.47</v>
      </c>
      <c r="J81" s="68">
        <v>43.3</v>
      </c>
      <c r="K81" s="68">
        <v>22.25</v>
      </c>
      <c r="L81" s="68">
        <v>0.8</v>
      </c>
    </row>
    <row r="82" spans="1:12" ht="19.899999999999999" customHeight="1" x14ac:dyDescent="0.25">
      <c r="B82" s="66" t="s">
        <v>142</v>
      </c>
      <c r="C82" s="64" t="s">
        <v>143</v>
      </c>
      <c r="D82" s="69">
        <v>80</v>
      </c>
      <c r="E82" s="68">
        <v>14.1</v>
      </c>
      <c r="F82" s="68">
        <v>9.8000000000000007</v>
      </c>
      <c r="G82" s="68">
        <v>1.4</v>
      </c>
      <c r="H82" s="68">
        <v>151.19999999999999</v>
      </c>
      <c r="I82" s="68">
        <v>1.1000000000000001</v>
      </c>
      <c r="J82" s="68">
        <v>15.3</v>
      </c>
      <c r="K82" s="68">
        <v>14.2</v>
      </c>
      <c r="L82" s="68">
        <v>0.9</v>
      </c>
    </row>
    <row r="83" spans="1:12" ht="18" customHeight="1" x14ac:dyDescent="0.25">
      <c r="B83" s="66" t="s">
        <v>144</v>
      </c>
      <c r="C83" s="64" t="s">
        <v>145</v>
      </c>
      <c r="D83" s="37">
        <v>120</v>
      </c>
      <c r="E83" s="68">
        <v>2.1</v>
      </c>
      <c r="F83" s="68">
        <v>3.3</v>
      </c>
      <c r="G83" s="68">
        <v>15.7</v>
      </c>
      <c r="H83" s="68">
        <v>105</v>
      </c>
      <c r="I83" s="68">
        <v>4.3</v>
      </c>
      <c r="J83" s="68">
        <v>10.7</v>
      </c>
      <c r="K83" s="68">
        <v>23.4</v>
      </c>
      <c r="L83" s="68">
        <v>0.9</v>
      </c>
    </row>
    <row r="84" spans="1:12" s="65" customFormat="1" ht="17.45" customHeight="1" x14ac:dyDescent="0.25">
      <c r="B84" s="131" t="s">
        <v>87</v>
      </c>
      <c r="C84" s="64" t="s">
        <v>123</v>
      </c>
      <c r="D84" s="69">
        <v>200</v>
      </c>
      <c r="E84" s="68">
        <v>0.2</v>
      </c>
      <c r="F84" s="68">
        <v>0.1</v>
      </c>
      <c r="G84" s="68">
        <v>12.21</v>
      </c>
      <c r="H84" s="68">
        <v>49</v>
      </c>
      <c r="I84" s="68">
        <v>1.6</v>
      </c>
      <c r="J84" s="68">
        <v>5.88</v>
      </c>
      <c r="K84" s="68">
        <v>3.13</v>
      </c>
      <c r="L84" s="68">
        <v>0.79</v>
      </c>
    </row>
    <row r="85" spans="1:12" ht="18" customHeight="1" x14ac:dyDescent="0.25">
      <c r="A85" s="35">
        <v>3</v>
      </c>
      <c r="B85" s="36"/>
      <c r="C85" s="36" t="s">
        <v>14</v>
      </c>
      <c r="D85" s="37">
        <f t="shared" ref="D85:L85" si="17">SUM(D80:D84)</f>
        <v>720</v>
      </c>
      <c r="E85" s="36">
        <f t="shared" si="17"/>
        <v>18.940000000000001</v>
      </c>
      <c r="F85" s="98">
        <f t="shared" si="17"/>
        <v>22.290000000000003</v>
      </c>
      <c r="G85" s="98">
        <f t="shared" si="17"/>
        <v>43.989999999999995</v>
      </c>
      <c r="H85" s="98">
        <f t="shared" si="17"/>
        <v>457.95</v>
      </c>
      <c r="I85" s="98">
        <f t="shared" si="17"/>
        <v>26.570000000000004</v>
      </c>
      <c r="J85" s="98">
        <f t="shared" si="17"/>
        <v>92.08</v>
      </c>
      <c r="K85" s="98">
        <f t="shared" si="17"/>
        <v>86.579999999999984</v>
      </c>
      <c r="L85" s="98">
        <f t="shared" si="17"/>
        <v>3.79</v>
      </c>
    </row>
    <row r="86" spans="1:12" ht="18" customHeight="1" x14ac:dyDescent="0.25">
      <c r="B86" s="142" t="s">
        <v>221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</row>
    <row r="87" spans="1:12" s="65" customFormat="1" ht="22.15" customHeight="1" x14ac:dyDescent="0.25">
      <c r="B87" s="134" t="s">
        <v>259</v>
      </c>
      <c r="C87" s="64" t="s">
        <v>146</v>
      </c>
      <c r="D87" s="69">
        <v>150</v>
      </c>
      <c r="E87" s="68">
        <v>0.9</v>
      </c>
      <c r="F87" s="68">
        <v>0.2</v>
      </c>
      <c r="G87" s="68">
        <v>8.3000000000000007</v>
      </c>
      <c r="H87" s="68">
        <v>39</v>
      </c>
      <c r="I87" s="68">
        <v>3.29</v>
      </c>
      <c r="J87" s="68">
        <v>21</v>
      </c>
      <c r="K87" s="68">
        <v>22</v>
      </c>
      <c r="L87" s="68">
        <v>1.38</v>
      </c>
    </row>
    <row r="88" spans="1:12" s="65" customFormat="1" ht="18" customHeight="1" x14ac:dyDescent="0.25">
      <c r="B88" s="83"/>
      <c r="C88" s="83" t="s">
        <v>14</v>
      </c>
      <c r="D88" s="69">
        <f t="shared" ref="D88:L88" si="18">SUM(D87)</f>
        <v>150</v>
      </c>
      <c r="E88" s="83">
        <f t="shared" si="18"/>
        <v>0.9</v>
      </c>
      <c r="F88" s="83">
        <f t="shared" si="18"/>
        <v>0.2</v>
      </c>
      <c r="G88" s="83">
        <f t="shared" si="18"/>
        <v>8.3000000000000007</v>
      </c>
      <c r="H88" s="83">
        <f t="shared" si="18"/>
        <v>39</v>
      </c>
      <c r="I88" s="83">
        <f t="shared" si="18"/>
        <v>3.29</v>
      </c>
      <c r="J88" s="83">
        <f t="shared" si="18"/>
        <v>21</v>
      </c>
      <c r="K88" s="83">
        <f t="shared" si="18"/>
        <v>22</v>
      </c>
      <c r="L88" s="83">
        <f t="shared" si="18"/>
        <v>1.38</v>
      </c>
    </row>
    <row r="89" spans="1:12" s="65" customFormat="1" ht="18" customHeight="1" x14ac:dyDescent="0.25">
      <c r="B89" s="139" t="s">
        <v>222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1"/>
    </row>
    <row r="90" spans="1:12" ht="20.45" customHeight="1" x14ac:dyDescent="0.25">
      <c r="A90" s="35">
        <v>3</v>
      </c>
      <c r="B90" s="58" t="s">
        <v>147</v>
      </c>
      <c r="C90" s="22" t="s">
        <v>148</v>
      </c>
      <c r="D90" s="69">
        <v>50</v>
      </c>
      <c r="E90" s="39">
        <v>0.7</v>
      </c>
      <c r="F90" s="68">
        <v>2.54</v>
      </c>
      <c r="G90" s="68">
        <v>4.51</v>
      </c>
      <c r="H90" s="68">
        <v>43.7</v>
      </c>
      <c r="I90" s="68">
        <v>16.23</v>
      </c>
      <c r="J90" s="68">
        <v>18.690000000000001</v>
      </c>
      <c r="K90" s="68">
        <v>7.58</v>
      </c>
      <c r="L90" s="68">
        <v>0.26</v>
      </c>
    </row>
    <row r="91" spans="1:12" s="65" customFormat="1" ht="15.6" customHeight="1" x14ac:dyDescent="0.25">
      <c r="B91" s="128" t="s">
        <v>156</v>
      </c>
      <c r="C91" s="64" t="s">
        <v>157</v>
      </c>
      <c r="D91" s="129">
        <v>50</v>
      </c>
      <c r="E91" s="68">
        <v>0.5</v>
      </c>
      <c r="F91" s="68">
        <v>3</v>
      </c>
      <c r="G91" s="68">
        <v>1.5</v>
      </c>
      <c r="H91" s="68">
        <v>36</v>
      </c>
      <c r="I91" s="68">
        <v>8.1</v>
      </c>
      <c r="J91" s="68">
        <v>9.4</v>
      </c>
      <c r="K91" s="68">
        <v>7.8</v>
      </c>
      <c r="L91" s="68">
        <v>0.4</v>
      </c>
    </row>
    <row r="92" spans="1:12" s="65" customFormat="1" ht="16.899999999999999" customHeight="1" x14ac:dyDescent="0.25">
      <c r="B92" s="128"/>
      <c r="C92" s="64" t="s">
        <v>39</v>
      </c>
      <c r="D92" s="129"/>
      <c r="E92" s="128">
        <f>SUM(E90:E91)/2</f>
        <v>0.6</v>
      </c>
      <c r="F92" s="128">
        <f t="shared" ref="F92" si="19">SUM(F90:F91)/2</f>
        <v>2.77</v>
      </c>
      <c r="G92" s="128">
        <f t="shared" ref="G92:L92" si="20">SUM(G90:G91)/2</f>
        <v>3.0049999999999999</v>
      </c>
      <c r="H92" s="128">
        <f t="shared" si="20"/>
        <v>39.85</v>
      </c>
      <c r="I92" s="128">
        <f t="shared" si="20"/>
        <v>12.164999999999999</v>
      </c>
      <c r="J92" s="128">
        <f t="shared" si="20"/>
        <v>14.045000000000002</v>
      </c>
      <c r="K92" s="128">
        <f t="shared" si="20"/>
        <v>7.6899999999999995</v>
      </c>
      <c r="L92" s="128">
        <f t="shared" si="20"/>
        <v>0.33</v>
      </c>
    </row>
    <row r="93" spans="1:12" s="65" customFormat="1" ht="18" customHeight="1" x14ac:dyDescent="0.25">
      <c r="B93" s="95" t="s">
        <v>149</v>
      </c>
      <c r="C93" s="64" t="s">
        <v>150</v>
      </c>
      <c r="D93" s="96">
        <v>80</v>
      </c>
      <c r="E93" s="68">
        <v>14</v>
      </c>
      <c r="F93" s="68">
        <v>7.69</v>
      </c>
      <c r="G93" s="68">
        <v>8.85</v>
      </c>
      <c r="H93" s="68">
        <v>160.9</v>
      </c>
      <c r="I93" s="68">
        <v>0.8</v>
      </c>
      <c r="J93" s="68">
        <v>35.299999999999997</v>
      </c>
      <c r="K93" s="68">
        <v>36.1</v>
      </c>
      <c r="L93" s="68">
        <v>0.92</v>
      </c>
    </row>
    <row r="94" spans="1:12" s="65" customFormat="1" ht="18" customHeight="1" x14ac:dyDescent="0.25">
      <c r="B94" s="107" t="s">
        <v>151</v>
      </c>
      <c r="C94" s="64" t="s">
        <v>152</v>
      </c>
      <c r="D94" s="108">
        <v>130</v>
      </c>
      <c r="E94" s="68">
        <v>1.93</v>
      </c>
      <c r="F94" s="68">
        <v>4.5</v>
      </c>
      <c r="G94" s="68">
        <v>12.3</v>
      </c>
      <c r="H94" s="68">
        <v>97.4</v>
      </c>
      <c r="I94" s="68">
        <v>9.5</v>
      </c>
      <c r="J94" s="68">
        <v>25.2</v>
      </c>
      <c r="K94" s="68">
        <v>27.4</v>
      </c>
      <c r="L94" s="68">
        <v>0.79</v>
      </c>
    </row>
    <row r="95" spans="1:12" s="65" customFormat="1" ht="18" customHeight="1" x14ac:dyDescent="0.25">
      <c r="A95" s="65">
        <v>3</v>
      </c>
      <c r="B95" s="69" t="s">
        <v>254</v>
      </c>
      <c r="C95" s="64" t="s">
        <v>256</v>
      </c>
      <c r="D95" s="82">
        <v>120</v>
      </c>
      <c r="E95" s="68">
        <v>0.48</v>
      </c>
      <c r="F95" s="68">
        <v>0.48</v>
      </c>
      <c r="G95" s="68">
        <v>11.76</v>
      </c>
      <c r="H95" s="68">
        <v>56</v>
      </c>
      <c r="I95" s="68">
        <v>12</v>
      </c>
      <c r="J95" s="68">
        <v>19.2</v>
      </c>
      <c r="K95" s="68">
        <v>10.8</v>
      </c>
      <c r="L95" s="68">
        <v>2.64</v>
      </c>
    </row>
    <row r="96" spans="1:12" s="65" customFormat="1" ht="19.5" customHeight="1" x14ac:dyDescent="0.25">
      <c r="B96" s="47" t="s">
        <v>116</v>
      </c>
      <c r="C96" s="48" t="s">
        <v>83</v>
      </c>
      <c r="D96" s="49">
        <v>200</v>
      </c>
      <c r="E96" s="68">
        <v>0.44</v>
      </c>
      <c r="F96" s="68">
        <v>0.02</v>
      </c>
      <c r="G96" s="68">
        <v>21.1</v>
      </c>
      <c r="H96" s="68">
        <v>86.3</v>
      </c>
      <c r="I96" s="68">
        <v>0.4</v>
      </c>
      <c r="J96" s="68">
        <v>31.6</v>
      </c>
      <c r="K96" s="68">
        <v>6</v>
      </c>
      <c r="L96" s="68">
        <v>1.23</v>
      </c>
    </row>
    <row r="97" spans="1:12" ht="18" customHeight="1" x14ac:dyDescent="0.25">
      <c r="A97" s="35">
        <v>3</v>
      </c>
      <c r="B97" s="36"/>
      <c r="C97" s="36" t="s">
        <v>14</v>
      </c>
      <c r="D97" s="37">
        <v>580</v>
      </c>
      <c r="E97" s="83">
        <f t="shared" ref="E97:L97" si="21">SUM(E90:E96)</f>
        <v>18.650000000000002</v>
      </c>
      <c r="F97" s="107">
        <f t="shared" si="21"/>
        <v>21</v>
      </c>
      <c r="G97" s="107">
        <f t="shared" si="21"/>
        <v>63.025000000000006</v>
      </c>
      <c r="H97" s="107">
        <f t="shared" si="21"/>
        <v>520.15</v>
      </c>
      <c r="I97" s="107">
        <f t="shared" si="21"/>
        <v>59.194999999999993</v>
      </c>
      <c r="J97" s="107">
        <f t="shared" si="21"/>
        <v>153.435</v>
      </c>
      <c r="K97" s="107">
        <f t="shared" si="21"/>
        <v>103.36999999999999</v>
      </c>
      <c r="L97" s="107">
        <f t="shared" si="21"/>
        <v>6.57</v>
      </c>
    </row>
    <row r="98" spans="1:12" ht="18" customHeight="1" x14ac:dyDescent="0.25">
      <c r="A98" s="35">
        <v>3</v>
      </c>
      <c r="B98" s="36"/>
      <c r="C98" s="36" t="s">
        <v>18</v>
      </c>
      <c r="D98" s="37">
        <f>D75+D78+D85+D88+D97</f>
        <v>2046</v>
      </c>
      <c r="E98" s="36">
        <f t="shared" ref="E98:L98" si="22">E75+E78+E85+E97+E88</f>
        <v>45.910000000000004</v>
      </c>
      <c r="F98" s="98">
        <f t="shared" si="22"/>
        <v>53.300000000000004</v>
      </c>
      <c r="G98" s="98">
        <f t="shared" si="22"/>
        <v>153.30500000000001</v>
      </c>
      <c r="H98" s="98">
        <f>H75+H78+H85+H97+H88</f>
        <v>1288.1399999999999</v>
      </c>
      <c r="I98" s="98">
        <f t="shared" si="22"/>
        <v>93.285000000000011</v>
      </c>
      <c r="J98" s="98">
        <f t="shared" si="22"/>
        <v>297.91499999999996</v>
      </c>
      <c r="K98" s="98">
        <f t="shared" si="22"/>
        <v>267.14999999999998</v>
      </c>
      <c r="L98" s="98">
        <f t="shared" si="22"/>
        <v>16.45</v>
      </c>
    </row>
    <row r="99" spans="1:12" s="65" customFormat="1" ht="20.100000000000001" customHeight="1" x14ac:dyDescent="0.25">
      <c r="B99" s="122"/>
      <c r="C99" s="122" t="s">
        <v>91</v>
      </c>
      <c r="D99" s="123"/>
      <c r="E99" s="122">
        <v>54</v>
      </c>
      <c r="F99" s="122">
        <v>60</v>
      </c>
      <c r="G99" s="122">
        <v>261</v>
      </c>
      <c r="H99" s="122">
        <v>1800</v>
      </c>
      <c r="I99" s="122">
        <v>50</v>
      </c>
      <c r="J99" s="122">
        <v>900</v>
      </c>
      <c r="K99" s="122">
        <v>200</v>
      </c>
      <c r="L99" s="122">
        <v>10</v>
      </c>
    </row>
    <row r="100" spans="1:12" s="65" customFormat="1" ht="20.100000000000001" customHeight="1" x14ac:dyDescent="0.25">
      <c r="B100" s="124"/>
      <c r="C100" s="124" t="s">
        <v>92</v>
      </c>
      <c r="D100" s="125"/>
      <c r="E100" s="124">
        <f>ROUND(E98/E99*100-100,2)</f>
        <v>-14.98</v>
      </c>
      <c r="F100" s="124">
        <f t="shared" ref="F100:L100" si="23">ROUND(F98/F99*100-100,2)</f>
        <v>-11.17</v>
      </c>
      <c r="G100" s="124">
        <f t="shared" si="23"/>
        <v>-41.26</v>
      </c>
      <c r="H100" s="124">
        <f t="shared" si="23"/>
        <v>-28.44</v>
      </c>
      <c r="I100" s="124">
        <f t="shared" si="23"/>
        <v>86.57</v>
      </c>
      <c r="J100" s="124">
        <f t="shared" si="23"/>
        <v>-66.900000000000006</v>
      </c>
      <c r="K100" s="124">
        <f t="shared" si="23"/>
        <v>33.58</v>
      </c>
      <c r="L100" s="124">
        <f t="shared" si="23"/>
        <v>64.5</v>
      </c>
    </row>
    <row r="101" spans="1:12" s="30" customFormat="1" ht="20.100000000000001" customHeight="1" x14ac:dyDescent="0.25">
      <c r="B101" s="31" t="s">
        <v>67</v>
      </c>
      <c r="C101" s="32"/>
      <c r="D101" s="41"/>
      <c r="E101" s="42"/>
      <c r="F101" s="42"/>
      <c r="G101" s="42"/>
      <c r="H101" s="42"/>
      <c r="I101" s="42"/>
      <c r="J101" s="42"/>
      <c r="K101" s="42"/>
      <c r="L101" s="42"/>
    </row>
    <row r="102" spans="1:12" s="30" customFormat="1" ht="20.100000000000001" customHeight="1" x14ac:dyDescent="0.25">
      <c r="B102" s="31" t="s">
        <v>64</v>
      </c>
      <c r="C102" s="32"/>
      <c r="D102" s="41"/>
      <c r="E102" s="42"/>
      <c r="F102" s="42"/>
      <c r="G102" s="42"/>
      <c r="H102" s="42"/>
      <c r="I102" s="42"/>
      <c r="J102" s="42"/>
      <c r="K102" s="42"/>
      <c r="L102" s="42"/>
    </row>
    <row r="103" spans="1:12" s="30" customFormat="1" x14ac:dyDescent="0.25">
      <c r="B103" s="31" t="s">
        <v>204</v>
      </c>
      <c r="C103" s="32"/>
      <c r="D103" s="33"/>
      <c r="E103" s="34"/>
      <c r="F103" s="34"/>
      <c r="G103" s="34"/>
      <c r="H103" s="34"/>
      <c r="I103" s="34"/>
      <c r="J103" s="34"/>
      <c r="K103" s="34"/>
      <c r="L103" s="34"/>
    </row>
    <row r="104" spans="1:12" s="30" customFormat="1" ht="20.100000000000001" customHeight="1" x14ac:dyDescent="0.25">
      <c r="B104" s="40"/>
      <c r="C104" s="40"/>
      <c r="D104" s="41"/>
      <c r="E104" s="42"/>
      <c r="F104" s="42"/>
      <c r="G104" s="42"/>
      <c r="H104" s="42"/>
      <c r="I104" s="42"/>
      <c r="J104" s="42"/>
      <c r="K104" s="42"/>
      <c r="L104" s="42"/>
    </row>
    <row r="105" spans="1:12" s="30" customFormat="1" ht="32.25" customHeight="1" x14ac:dyDescent="0.25">
      <c r="B105" s="143" t="s">
        <v>0</v>
      </c>
      <c r="C105" s="143" t="s">
        <v>1</v>
      </c>
      <c r="D105" s="144" t="s">
        <v>2</v>
      </c>
      <c r="E105" s="142" t="s">
        <v>3</v>
      </c>
      <c r="F105" s="142"/>
      <c r="G105" s="142"/>
      <c r="H105" s="142" t="s">
        <v>4</v>
      </c>
      <c r="I105" s="101"/>
      <c r="J105" s="142" t="s">
        <v>5</v>
      </c>
      <c r="K105" s="142"/>
      <c r="L105" s="142"/>
    </row>
    <row r="106" spans="1:12" s="30" customFormat="1" ht="33" customHeight="1" x14ac:dyDescent="0.25">
      <c r="B106" s="143"/>
      <c r="C106" s="143"/>
      <c r="D106" s="144"/>
      <c r="E106" s="36" t="s">
        <v>6</v>
      </c>
      <c r="F106" s="36" t="s">
        <v>7</v>
      </c>
      <c r="G106" s="36" t="s">
        <v>8</v>
      </c>
      <c r="H106" s="142"/>
      <c r="I106" s="36" t="s">
        <v>9</v>
      </c>
      <c r="J106" s="36" t="s">
        <v>10</v>
      </c>
      <c r="K106" s="36" t="s">
        <v>11</v>
      </c>
      <c r="L106" s="36" t="s">
        <v>12</v>
      </c>
    </row>
    <row r="107" spans="1:12" ht="18" customHeight="1" x14ac:dyDescent="0.25">
      <c r="A107" s="35">
        <v>4</v>
      </c>
      <c r="B107" s="142" t="s">
        <v>223</v>
      </c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</row>
    <row r="108" spans="1:12" ht="21.6" customHeight="1" x14ac:dyDescent="0.25">
      <c r="A108" s="35">
        <v>4</v>
      </c>
      <c r="B108" s="36" t="s">
        <v>154</v>
      </c>
      <c r="C108" s="22" t="s">
        <v>155</v>
      </c>
      <c r="D108" s="69">
        <v>250</v>
      </c>
      <c r="E108" s="39">
        <v>2.41</v>
      </c>
      <c r="F108" s="68">
        <v>3.8</v>
      </c>
      <c r="G108" s="68">
        <v>4.5</v>
      </c>
      <c r="H108" s="68">
        <v>61.8</v>
      </c>
      <c r="I108" s="68">
        <v>0</v>
      </c>
      <c r="J108" s="68">
        <v>3.71</v>
      </c>
      <c r="K108" s="68">
        <v>11</v>
      </c>
      <c r="L108" s="68">
        <v>0.32</v>
      </c>
    </row>
    <row r="109" spans="1:12" s="65" customFormat="1" ht="20.100000000000001" customHeight="1" x14ac:dyDescent="0.25">
      <c r="A109" s="65">
        <v>1</v>
      </c>
      <c r="B109" s="132" t="s">
        <v>106</v>
      </c>
      <c r="C109" s="64" t="s">
        <v>93</v>
      </c>
      <c r="D109" s="69" t="s">
        <v>206</v>
      </c>
      <c r="E109" s="38">
        <v>0.01</v>
      </c>
      <c r="F109" s="38">
        <v>0.01</v>
      </c>
      <c r="G109" s="38">
        <v>5.99</v>
      </c>
      <c r="H109" s="38">
        <v>23.94</v>
      </c>
      <c r="I109" s="38">
        <v>0.02</v>
      </c>
      <c r="J109" s="38">
        <v>9.91</v>
      </c>
      <c r="K109" s="38">
        <v>1.3</v>
      </c>
      <c r="L109" s="38">
        <v>0.27</v>
      </c>
    </row>
    <row r="110" spans="1:12" s="65" customFormat="1" ht="18" customHeight="1" x14ac:dyDescent="0.25">
      <c r="A110" s="65">
        <v>4</v>
      </c>
      <c r="B110" s="66"/>
      <c r="C110" s="66" t="s">
        <v>14</v>
      </c>
      <c r="D110" s="67">
        <v>436</v>
      </c>
      <c r="E110" s="66">
        <f t="shared" ref="E110:L110" si="24">SUM(E108:E109)</f>
        <v>2.42</v>
      </c>
      <c r="F110" s="107">
        <f t="shared" si="24"/>
        <v>3.8099999999999996</v>
      </c>
      <c r="G110" s="107">
        <f t="shared" si="24"/>
        <v>10.49</v>
      </c>
      <c r="H110" s="107">
        <f t="shared" si="24"/>
        <v>85.74</v>
      </c>
      <c r="I110" s="107">
        <f t="shared" si="24"/>
        <v>0.02</v>
      </c>
      <c r="J110" s="107">
        <f t="shared" si="24"/>
        <v>13.620000000000001</v>
      </c>
      <c r="K110" s="107">
        <f t="shared" si="24"/>
        <v>12.3</v>
      </c>
      <c r="L110" s="107">
        <f t="shared" si="24"/>
        <v>0.59000000000000008</v>
      </c>
    </row>
    <row r="111" spans="1:12" s="65" customFormat="1" ht="18" customHeight="1" x14ac:dyDescent="0.25">
      <c r="B111" s="139" t="s">
        <v>224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1"/>
    </row>
    <row r="112" spans="1:12" s="65" customFormat="1" ht="20.100000000000001" customHeight="1" x14ac:dyDescent="0.25">
      <c r="B112" s="131" t="s">
        <v>107</v>
      </c>
      <c r="C112" s="64" t="s">
        <v>84</v>
      </c>
      <c r="D112" s="132">
        <v>200</v>
      </c>
      <c r="E112" s="38">
        <v>1</v>
      </c>
      <c r="F112" s="38">
        <v>0</v>
      </c>
      <c r="G112" s="38">
        <v>20.2</v>
      </c>
      <c r="H112" s="38">
        <v>85.3</v>
      </c>
      <c r="I112" s="38">
        <v>4</v>
      </c>
      <c r="J112" s="38">
        <v>14</v>
      </c>
      <c r="K112" s="38">
        <v>8</v>
      </c>
      <c r="L112" s="38">
        <v>2.8</v>
      </c>
    </row>
    <row r="113" spans="1:12" ht="18" customHeight="1" x14ac:dyDescent="0.25">
      <c r="B113" s="36"/>
      <c r="C113" s="66" t="s">
        <v>14</v>
      </c>
      <c r="D113" s="37">
        <f>D112</f>
        <v>200</v>
      </c>
      <c r="E113" s="36">
        <f>E112</f>
        <v>1</v>
      </c>
      <c r="F113" s="107">
        <f t="shared" ref="F113:L113" si="25">F112</f>
        <v>0</v>
      </c>
      <c r="G113" s="107">
        <f t="shared" si="25"/>
        <v>20.2</v>
      </c>
      <c r="H113" s="107">
        <f t="shared" si="25"/>
        <v>85.3</v>
      </c>
      <c r="I113" s="107">
        <f t="shared" si="25"/>
        <v>4</v>
      </c>
      <c r="J113" s="107">
        <f t="shared" si="25"/>
        <v>14</v>
      </c>
      <c r="K113" s="107">
        <f t="shared" si="25"/>
        <v>8</v>
      </c>
      <c r="L113" s="107">
        <f t="shared" si="25"/>
        <v>2.8</v>
      </c>
    </row>
    <row r="114" spans="1:12" ht="18" customHeight="1" x14ac:dyDescent="0.25">
      <c r="A114" s="35">
        <v>4</v>
      </c>
      <c r="B114" s="142" t="s">
        <v>225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</row>
    <row r="115" spans="1:12" s="65" customFormat="1" ht="20.100000000000001" customHeight="1" x14ac:dyDescent="0.25">
      <c r="B115" s="132" t="s">
        <v>108</v>
      </c>
      <c r="C115" s="64" t="s">
        <v>109</v>
      </c>
      <c r="D115" s="132">
        <v>70</v>
      </c>
      <c r="E115" s="68">
        <v>0.8</v>
      </c>
      <c r="F115" s="68">
        <v>4.2</v>
      </c>
      <c r="G115" s="68">
        <v>7</v>
      </c>
      <c r="H115" s="68">
        <v>71</v>
      </c>
      <c r="I115" s="68">
        <v>2.4</v>
      </c>
      <c r="J115" s="68">
        <v>20.399999999999999</v>
      </c>
      <c r="K115" s="68">
        <v>11.3</v>
      </c>
      <c r="L115" s="68">
        <v>1</v>
      </c>
    </row>
    <row r="116" spans="1:12" s="65" customFormat="1" ht="17.45" customHeight="1" x14ac:dyDescent="0.25">
      <c r="B116" s="98" t="s">
        <v>158</v>
      </c>
      <c r="C116" s="64" t="s">
        <v>159</v>
      </c>
      <c r="D116" s="69">
        <v>200</v>
      </c>
      <c r="E116" s="68">
        <v>1.9</v>
      </c>
      <c r="F116" s="68">
        <v>2.2000000000000002</v>
      </c>
      <c r="G116" s="68">
        <v>13.3</v>
      </c>
      <c r="H116" s="68">
        <v>81</v>
      </c>
      <c r="I116" s="68">
        <v>9.6</v>
      </c>
      <c r="J116" s="68">
        <v>20.7</v>
      </c>
      <c r="K116" s="68">
        <v>24.8</v>
      </c>
      <c r="L116" s="68">
        <v>0.9</v>
      </c>
    </row>
    <row r="117" spans="1:12" s="65" customFormat="1" ht="18" customHeight="1" x14ac:dyDescent="0.25">
      <c r="B117" s="107" t="s">
        <v>160</v>
      </c>
      <c r="C117" s="64" t="s">
        <v>161</v>
      </c>
      <c r="D117" s="69">
        <v>220</v>
      </c>
      <c r="E117" s="68">
        <v>35.700000000000003</v>
      </c>
      <c r="F117" s="68">
        <v>43.3</v>
      </c>
      <c r="G117" s="68">
        <v>39</v>
      </c>
      <c r="H117" s="68">
        <v>691</v>
      </c>
      <c r="I117" s="68">
        <v>2.09</v>
      </c>
      <c r="J117" s="68">
        <v>39.340000000000003</v>
      </c>
      <c r="K117" s="68">
        <v>64</v>
      </c>
      <c r="L117" s="68">
        <v>3.5</v>
      </c>
    </row>
    <row r="118" spans="1:12" s="65" customFormat="1" ht="19.5" customHeight="1" x14ac:dyDescent="0.25">
      <c r="B118" s="47" t="s">
        <v>116</v>
      </c>
      <c r="C118" s="48" t="s">
        <v>83</v>
      </c>
      <c r="D118" s="49">
        <v>200</v>
      </c>
      <c r="E118" s="68">
        <v>0.44</v>
      </c>
      <c r="F118" s="68">
        <v>0.02</v>
      </c>
      <c r="G118" s="68">
        <v>21.1</v>
      </c>
      <c r="H118" s="68">
        <v>86.3</v>
      </c>
      <c r="I118" s="68">
        <v>0.4</v>
      </c>
      <c r="J118" s="68">
        <v>31.6</v>
      </c>
      <c r="K118" s="68">
        <v>6</v>
      </c>
      <c r="L118" s="68">
        <v>1.23</v>
      </c>
    </row>
    <row r="119" spans="1:12" ht="18" customHeight="1" x14ac:dyDescent="0.25">
      <c r="A119" s="35">
        <v>4</v>
      </c>
      <c r="B119" s="36"/>
      <c r="C119" s="113" t="s">
        <v>14</v>
      </c>
      <c r="D119" s="37">
        <f t="shared" ref="D119:L119" si="26">SUM(D115:D118)</f>
        <v>690</v>
      </c>
      <c r="E119" s="83">
        <f t="shared" si="26"/>
        <v>38.840000000000003</v>
      </c>
      <c r="F119" s="107">
        <f t="shared" si="26"/>
        <v>49.72</v>
      </c>
      <c r="G119" s="107">
        <f t="shared" si="26"/>
        <v>80.400000000000006</v>
      </c>
      <c r="H119" s="107">
        <f t="shared" si="26"/>
        <v>929.3</v>
      </c>
      <c r="I119" s="107">
        <f t="shared" si="26"/>
        <v>14.49</v>
      </c>
      <c r="J119" s="107">
        <f t="shared" si="26"/>
        <v>112.03999999999999</v>
      </c>
      <c r="K119" s="107">
        <f t="shared" si="26"/>
        <v>106.1</v>
      </c>
      <c r="L119" s="107">
        <f t="shared" si="26"/>
        <v>6.6300000000000008</v>
      </c>
    </row>
    <row r="120" spans="1:12" ht="18" customHeight="1" x14ac:dyDescent="0.25">
      <c r="A120" s="35">
        <v>4</v>
      </c>
      <c r="B120" s="142" t="s">
        <v>167</v>
      </c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</row>
    <row r="121" spans="1:12" s="65" customFormat="1" ht="18" customHeight="1" x14ac:dyDescent="0.25">
      <c r="B121" s="131" t="s">
        <v>132</v>
      </c>
      <c r="C121" s="64" t="s">
        <v>133</v>
      </c>
      <c r="D121" s="69">
        <v>80</v>
      </c>
      <c r="E121" s="87">
        <v>0.32</v>
      </c>
      <c r="F121" s="87">
        <v>0.32</v>
      </c>
      <c r="G121" s="87">
        <v>24.8</v>
      </c>
      <c r="H121" s="44">
        <v>104</v>
      </c>
      <c r="I121" s="87">
        <v>3.3</v>
      </c>
      <c r="J121" s="87">
        <v>13.1</v>
      </c>
      <c r="K121" s="87">
        <v>7</v>
      </c>
      <c r="L121" s="87">
        <v>1.7</v>
      </c>
    </row>
    <row r="122" spans="1:12" s="65" customFormat="1" ht="18" customHeight="1" x14ac:dyDescent="0.25">
      <c r="B122" s="83"/>
      <c r="C122" s="113" t="s">
        <v>14</v>
      </c>
      <c r="D122" s="69">
        <f t="shared" ref="D122:L122" si="27">SUM(D121)</f>
        <v>80</v>
      </c>
      <c r="E122" s="83">
        <f t="shared" si="27"/>
        <v>0.32</v>
      </c>
      <c r="F122" s="83">
        <f t="shared" si="27"/>
        <v>0.32</v>
      </c>
      <c r="G122" s="83">
        <f t="shared" si="27"/>
        <v>24.8</v>
      </c>
      <c r="H122" s="83">
        <f t="shared" si="27"/>
        <v>104</v>
      </c>
      <c r="I122" s="83">
        <f t="shared" si="27"/>
        <v>3.3</v>
      </c>
      <c r="J122" s="83">
        <f t="shared" si="27"/>
        <v>13.1</v>
      </c>
      <c r="K122" s="83">
        <f t="shared" si="27"/>
        <v>7</v>
      </c>
      <c r="L122" s="83">
        <f t="shared" si="27"/>
        <v>1.7</v>
      </c>
    </row>
    <row r="123" spans="1:12" s="65" customFormat="1" ht="18" customHeight="1" x14ac:dyDescent="0.25">
      <c r="B123" s="139" t="s">
        <v>226</v>
      </c>
      <c r="C123" s="140"/>
      <c r="D123" s="140"/>
      <c r="E123" s="140"/>
      <c r="F123" s="140"/>
      <c r="G123" s="140"/>
      <c r="H123" s="140"/>
      <c r="I123" s="140"/>
      <c r="J123" s="140"/>
      <c r="K123" s="140"/>
      <c r="L123" s="141"/>
    </row>
    <row r="124" spans="1:12" s="65" customFormat="1" ht="18" customHeight="1" x14ac:dyDescent="0.25">
      <c r="B124" s="66" t="s">
        <v>162</v>
      </c>
      <c r="C124" s="64" t="s">
        <v>163</v>
      </c>
      <c r="D124" s="69">
        <v>70</v>
      </c>
      <c r="E124" s="68">
        <v>0.8</v>
      </c>
      <c r="F124" s="68">
        <v>4.2</v>
      </c>
      <c r="G124" s="68">
        <v>6.2</v>
      </c>
      <c r="H124" s="68">
        <v>68</v>
      </c>
      <c r="I124" s="68">
        <v>1.1000000000000001</v>
      </c>
      <c r="J124" s="68">
        <v>16.899999999999999</v>
      </c>
      <c r="K124" s="68">
        <v>23.6</v>
      </c>
      <c r="L124" s="68">
        <v>0.4</v>
      </c>
    </row>
    <row r="125" spans="1:12" s="65" customFormat="1" ht="18" customHeight="1" x14ac:dyDescent="0.25">
      <c r="B125" s="66" t="s">
        <v>164</v>
      </c>
      <c r="C125" s="64" t="s">
        <v>165</v>
      </c>
      <c r="D125" s="69">
        <v>80</v>
      </c>
      <c r="E125" s="68">
        <v>14.4</v>
      </c>
      <c r="F125" s="68">
        <v>28</v>
      </c>
      <c r="G125" s="68">
        <v>0.78</v>
      </c>
      <c r="H125" s="68">
        <v>313.2</v>
      </c>
      <c r="I125" s="68">
        <v>0.38</v>
      </c>
      <c r="J125" s="68">
        <v>9.2200000000000006</v>
      </c>
      <c r="K125" s="68">
        <v>21.3</v>
      </c>
      <c r="L125" s="68">
        <v>1.65</v>
      </c>
    </row>
    <row r="126" spans="1:12" s="65" customFormat="1" ht="18" customHeight="1" x14ac:dyDescent="0.25">
      <c r="B126" s="66" t="s">
        <v>144</v>
      </c>
      <c r="C126" s="64" t="s">
        <v>166</v>
      </c>
      <c r="D126" s="69">
        <v>120</v>
      </c>
      <c r="E126" s="68">
        <v>2.1</v>
      </c>
      <c r="F126" s="68">
        <v>3.3</v>
      </c>
      <c r="G126" s="68">
        <v>15.7</v>
      </c>
      <c r="H126" s="68">
        <v>105</v>
      </c>
      <c r="I126" s="68">
        <v>4.3</v>
      </c>
      <c r="J126" s="68">
        <v>10.7</v>
      </c>
      <c r="K126" s="68">
        <v>23.4</v>
      </c>
      <c r="L126" s="68">
        <v>0.9</v>
      </c>
    </row>
    <row r="127" spans="1:12" s="65" customFormat="1" ht="18" customHeight="1" x14ac:dyDescent="0.25">
      <c r="B127" s="131" t="s">
        <v>138</v>
      </c>
      <c r="C127" s="45" t="s">
        <v>139</v>
      </c>
      <c r="D127" s="46">
        <v>180</v>
      </c>
      <c r="E127" s="44">
        <v>0.5</v>
      </c>
      <c r="F127" s="44">
        <v>0.12</v>
      </c>
      <c r="G127" s="44">
        <v>13.3</v>
      </c>
      <c r="H127" s="44">
        <v>55</v>
      </c>
      <c r="I127" s="44">
        <v>0.7</v>
      </c>
      <c r="J127" s="44">
        <v>6.2</v>
      </c>
      <c r="K127" s="44">
        <v>3.42</v>
      </c>
      <c r="L127" s="44">
        <v>1.2</v>
      </c>
    </row>
    <row r="128" spans="1:12" s="65" customFormat="1" ht="18" customHeight="1" x14ac:dyDescent="0.25">
      <c r="A128" s="65">
        <v>3</v>
      </c>
      <c r="B128" s="69" t="s">
        <v>254</v>
      </c>
      <c r="C128" s="64" t="s">
        <v>253</v>
      </c>
      <c r="D128" s="133">
        <v>100</v>
      </c>
      <c r="E128" s="68">
        <v>0.4</v>
      </c>
      <c r="F128" s="68">
        <v>0.3</v>
      </c>
      <c r="G128" s="68">
        <v>10.3</v>
      </c>
      <c r="H128" s="68">
        <v>46</v>
      </c>
      <c r="I128" s="68">
        <v>5</v>
      </c>
      <c r="J128" s="68">
        <v>19</v>
      </c>
      <c r="K128" s="68">
        <v>12</v>
      </c>
      <c r="L128" s="68">
        <v>2.2999999999999998</v>
      </c>
    </row>
    <row r="129" spans="1:12" ht="18" customHeight="1" x14ac:dyDescent="0.25">
      <c r="A129" s="35">
        <v>4</v>
      </c>
      <c r="B129" s="36"/>
      <c r="C129" s="36" t="s">
        <v>14</v>
      </c>
      <c r="D129" s="75">
        <f t="shared" ref="D129:L129" si="28">SUM(D124:D128)</f>
        <v>550</v>
      </c>
      <c r="E129" s="36">
        <f t="shared" si="28"/>
        <v>18.2</v>
      </c>
      <c r="F129" s="83">
        <f t="shared" si="28"/>
        <v>35.919999999999995</v>
      </c>
      <c r="G129" s="83">
        <f t="shared" si="28"/>
        <v>46.28</v>
      </c>
      <c r="H129" s="83">
        <f t="shared" si="28"/>
        <v>587.20000000000005</v>
      </c>
      <c r="I129" s="83">
        <f t="shared" si="28"/>
        <v>11.48</v>
      </c>
      <c r="J129" s="83">
        <f t="shared" si="28"/>
        <v>62.019999999999996</v>
      </c>
      <c r="K129" s="83">
        <f t="shared" si="28"/>
        <v>83.720000000000013</v>
      </c>
      <c r="L129" s="83">
        <f t="shared" si="28"/>
        <v>6.4499999999999993</v>
      </c>
    </row>
    <row r="130" spans="1:12" ht="18" customHeight="1" x14ac:dyDescent="0.25">
      <c r="A130" s="35">
        <v>4</v>
      </c>
      <c r="B130" s="36"/>
      <c r="C130" s="36" t="s">
        <v>19</v>
      </c>
      <c r="D130" s="84">
        <f>D110+D113+D119+D122+D129</f>
        <v>1956</v>
      </c>
      <c r="E130" s="36">
        <f t="shared" ref="E130:L130" si="29">E110+E113+E119+E122+E129</f>
        <v>60.78</v>
      </c>
      <c r="F130" s="83">
        <f t="shared" si="29"/>
        <v>89.77</v>
      </c>
      <c r="G130" s="83">
        <f t="shared" si="29"/>
        <v>182.17000000000002</v>
      </c>
      <c r="H130" s="83">
        <f>H110+H113+H119+H122+H129</f>
        <v>1791.54</v>
      </c>
      <c r="I130" s="83">
        <f t="shared" si="29"/>
        <v>33.29</v>
      </c>
      <c r="J130" s="83">
        <f t="shared" si="29"/>
        <v>214.77999999999997</v>
      </c>
      <c r="K130" s="83">
        <f t="shared" si="29"/>
        <v>217.12</v>
      </c>
      <c r="L130" s="83">
        <f t="shared" si="29"/>
        <v>18.169999999999998</v>
      </c>
    </row>
    <row r="131" spans="1:12" s="65" customFormat="1" ht="20.100000000000001" customHeight="1" x14ac:dyDescent="0.25">
      <c r="B131" s="122"/>
      <c r="C131" s="122" t="s">
        <v>91</v>
      </c>
      <c r="D131" s="123"/>
      <c r="E131" s="122">
        <v>54</v>
      </c>
      <c r="F131" s="122">
        <v>60</v>
      </c>
      <c r="G131" s="122">
        <v>261</v>
      </c>
      <c r="H131" s="122">
        <v>1800</v>
      </c>
      <c r="I131" s="122">
        <v>50</v>
      </c>
      <c r="J131" s="122">
        <v>900</v>
      </c>
      <c r="K131" s="122">
        <v>200</v>
      </c>
      <c r="L131" s="122">
        <v>10</v>
      </c>
    </row>
    <row r="132" spans="1:12" s="65" customFormat="1" ht="20.100000000000001" customHeight="1" x14ac:dyDescent="0.25">
      <c r="B132" s="124"/>
      <c r="C132" s="124" t="s">
        <v>92</v>
      </c>
      <c r="D132" s="125"/>
      <c r="E132" s="124">
        <f>ROUND(E130/E131*100-100,2)</f>
        <v>12.56</v>
      </c>
      <c r="F132" s="124">
        <f t="shared" ref="F132:L132" si="30">ROUND(F130/F131*100-100,2)</f>
        <v>49.62</v>
      </c>
      <c r="G132" s="124">
        <f t="shared" si="30"/>
        <v>-30.2</v>
      </c>
      <c r="H132" s="124">
        <f t="shared" si="30"/>
        <v>-0.47</v>
      </c>
      <c r="I132" s="124">
        <f t="shared" si="30"/>
        <v>-33.42</v>
      </c>
      <c r="J132" s="124">
        <f t="shared" si="30"/>
        <v>-76.14</v>
      </c>
      <c r="K132" s="124">
        <f t="shared" si="30"/>
        <v>8.56</v>
      </c>
      <c r="L132" s="124">
        <f t="shared" si="30"/>
        <v>81.7</v>
      </c>
    </row>
    <row r="133" spans="1:12" s="30" customFormat="1" ht="20.100000000000001" customHeight="1" x14ac:dyDescent="0.25">
      <c r="B133" s="31" t="s">
        <v>68</v>
      </c>
      <c r="C133" s="32"/>
      <c r="D133" s="41"/>
      <c r="E133" s="42"/>
      <c r="F133" s="42"/>
      <c r="G133" s="42"/>
      <c r="H133" s="42"/>
      <c r="I133" s="42"/>
      <c r="J133" s="42"/>
      <c r="K133" s="42"/>
      <c r="L133" s="42"/>
    </row>
    <row r="134" spans="1:12" s="30" customFormat="1" ht="20.100000000000001" customHeight="1" x14ac:dyDescent="0.25">
      <c r="B134" s="31" t="s">
        <v>64</v>
      </c>
      <c r="C134" s="32"/>
      <c r="D134" s="41"/>
      <c r="E134" s="42"/>
      <c r="F134" s="42"/>
      <c r="G134" s="42"/>
      <c r="H134" s="42"/>
      <c r="I134" s="42"/>
      <c r="J134" s="42"/>
      <c r="K134" s="42"/>
      <c r="L134" s="42"/>
    </row>
    <row r="135" spans="1:12" s="30" customFormat="1" x14ac:dyDescent="0.25">
      <c r="B135" s="31" t="s">
        <v>204</v>
      </c>
      <c r="C135" s="32"/>
      <c r="D135" s="33"/>
      <c r="E135" s="34"/>
      <c r="F135" s="34"/>
      <c r="G135" s="34"/>
      <c r="H135" s="34"/>
      <c r="I135" s="34"/>
      <c r="J135" s="34"/>
      <c r="K135" s="34"/>
      <c r="L135" s="34"/>
    </row>
    <row r="136" spans="1:12" s="30" customFormat="1" ht="20.100000000000001" hidden="1" customHeight="1" x14ac:dyDescent="0.25">
      <c r="B136" s="40"/>
      <c r="C136" s="40"/>
      <c r="D136" s="41"/>
      <c r="E136" s="42"/>
      <c r="F136" s="42"/>
      <c r="G136" s="42"/>
      <c r="H136" s="42"/>
      <c r="I136" s="42"/>
      <c r="J136" s="42"/>
      <c r="K136" s="42"/>
      <c r="L136" s="42"/>
    </row>
    <row r="137" spans="1:12" s="30" customFormat="1" ht="39.75" customHeight="1" x14ac:dyDescent="0.25">
      <c r="B137" s="143" t="s">
        <v>0</v>
      </c>
      <c r="C137" s="143" t="s">
        <v>1</v>
      </c>
      <c r="D137" s="144" t="s">
        <v>2</v>
      </c>
      <c r="E137" s="142" t="s">
        <v>3</v>
      </c>
      <c r="F137" s="142"/>
      <c r="G137" s="142"/>
      <c r="H137" s="142" t="s">
        <v>4</v>
      </c>
      <c r="I137" s="101"/>
      <c r="J137" s="142" t="s">
        <v>5</v>
      </c>
      <c r="K137" s="142"/>
      <c r="L137" s="142"/>
    </row>
    <row r="138" spans="1:12" s="30" customFormat="1" ht="39.75" customHeight="1" x14ac:dyDescent="0.25">
      <c r="B138" s="143"/>
      <c r="C138" s="143"/>
      <c r="D138" s="144"/>
      <c r="E138" s="36" t="s">
        <v>6</v>
      </c>
      <c r="F138" s="36" t="s">
        <v>7</v>
      </c>
      <c r="G138" s="36" t="s">
        <v>8</v>
      </c>
      <c r="H138" s="142"/>
      <c r="I138" s="36" t="s">
        <v>9</v>
      </c>
      <c r="J138" s="36" t="s">
        <v>10</v>
      </c>
      <c r="K138" s="36" t="s">
        <v>11</v>
      </c>
      <c r="L138" s="36" t="s">
        <v>12</v>
      </c>
    </row>
    <row r="139" spans="1:12" ht="18" customHeight="1" x14ac:dyDescent="0.25">
      <c r="A139" s="35">
        <v>5</v>
      </c>
      <c r="B139" s="142" t="s">
        <v>177</v>
      </c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</row>
    <row r="140" spans="1:12" s="65" customFormat="1" ht="18" customHeight="1" x14ac:dyDescent="0.25">
      <c r="A140" s="65">
        <v>1</v>
      </c>
      <c r="B140" s="132" t="s">
        <v>104</v>
      </c>
      <c r="C140" s="64" t="s">
        <v>105</v>
      </c>
      <c r="D140" s="130" t="s">
        <v>205</v>
      </c>
      <c r="E140" s="38">
        <v>6.37</v>
      </c>
      <c r="F140" s="38">
        <v>10.4</v>
      </c>
      <c r="G140" s="38">
        <v>12.2</v>
      </c>
      <c r="H140" s="38">
        <v>168.4</v>
      </c>
      <c r="I140" s="38">
        <v>0.21</v>
      </c>
      <c r="J140" s="38">
        <v>14.8</v>
      </c>
      <c r="K140" s="38">
        <v>31.8</v>
      </c>
      <c r="L140" s="38">
        <v>1.23</v>
      </c>
    </row>
    <row r="141" spans="1:12" s="65" customFormat="1" ht="20.100000000000001" customHeight="1" x14ac:dyDescent="0.25">
      <c r="A141" s="65">
        <v>1</v>
      </c>
      <c r="B141" s="132" t="s">
        <v>106</v>
      </c>
      <c r="C141" s="64" t="s">
        <v>93</v>
      </c>
      <c r="D141" s="69" t="s">
        <v>206</v>
      </c>
      <c r="E141" s="38">
        <v>0.01</v>
      </c>
      <c r="F141" s="38">
        <v>0.01</v>
      </c>
      <c r="G141" s="38">
        <v>5.99</v>
      </c>
      <c r="H141" s="38">
        <v>23.94</v>
      </c>
      <c r="I141" s="38">
        <v>0.02</v>
      </c>
      <c r="J141" s="38">
        <v>9.91</v>
      </c>
      <c r="K141" s="38">
        <v>1.3</v>
      </c>
      <c r="L141" s="38">
        <v>0.27</v>
      </c>
    </row>
    <row r="142" spans="1:12" s="65" customFormat="1" ht="18" customHeight="1" x14ac:dyDescent="0.25">
      <c r="B142" s="66"/>
      <c r="C142" s="66" t="s">
        <v>14</v>
      </c>
      <c r="D142" s="67">
        <v>396</v>
      </c>
      <c r="E142" s="66">
        <f t="shared" ref="E142:L142" si="31">SUM(E140:E141)</f>
        <v>6.38</v>
      </c>
      <c r="F142" s="126">
        <f t="shared" si="31"/>
        <v>10.41</v>
      </c>
      <c r="G142" s="126">
        <f t="shared" si="31"/>
        <v>18.189999999999998</v>
      </c>
      <c r="H142" s="126">
        <f t="shared" si="31"/>
        <v>192.34</v>
      </c>
      <c r="I142" s="126">
        <f t="shared" si="31"/>
        <v>0.22999999999999998</v>
      </c>
      <c r="J142" s="126">
        <f t="shared" si="31"/>
        <v>24.71</v>
      </c>
      <c r="K142" s="126">
        <f t="shared" si="31"/>
        <v>33.1</v>
      </c>
      <c r="L142" s="126">
        <f t="shared" si="31"/>
        <v>1.5</v>
      </c>
    </row>
    <row r="143" spans="1:12" s="65" customFormat="1" ht="18" customHeight="1" x14ac:dyDescent="0.25">
      <c r="B143" s="142" t="s">
        <v>227</v>
      </c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</row>
    <row r="144" spans="1:12" s="65" customFormat="1" ht="20.100000000000001" customHeight="1" x14ac:dyDescent="0.25">
      <c r="B144" s="131" t="s">
        <v>107</v>
      </c>
      <c r="C144" s="64" t="s">
        <v>84</v>
      </c>
      <c r="D144" s="132">
        <v>200</v>
      </c>
      <c r="E144" s="38">
        <v>1</v>
      </c>
      <c r="F144" s="38">
        <v>0</v>
      </c>
      <c r="G144" s="38">
        <v>20.2</v>
      </c>
      <c r="H144" s="38">
        <v>85.3</v>
      </c>
      <c r="I144" s="38">
        <v>4</v>
      </c>
      <c r="J144" s="38">
        <v>14</v>
      </c>
      <c r="K144" s="38">
        <v>8</v>
      </c>
      <c r="L144" s="38">
        <v>2.8</v>
      </c>
    </row>
    <row r="145" spans="1:12" ht="18" customHeight="1" x14ac:dyDescent="0.25">
      <c r="B145" s="36"/>
      <c r="C145" s="66" t="s">
        <v>14</v>
      </c>
      <c r="D145" s="37">
        <f>D144</f>
        <v>200</v>
      </c>
      <c r="E145" s="66">
        <f>E144</f>
        <v>1</v>
      </c>
      <c r="F145" s="111">
        <f t="shared" ref="F145:L145" si="32">F144</f>
        <v>0</v>
      </c>
      <c r="G145" s="111">
        <f t="shared" si="32"/>
        <v>20.2</v>
      </c>
      <c r="H145" s="111">
        <f t="shared" si="32"/>
        <v>85.3</v>
      </c>
      <c r="I145" s="111">
        <f t="shared" si="32"/>
        <v>4</v>
      </c>
      <c r="J145" s="111">
        <f t="shared" si="32"/>
        <v>14</v>
      </c>
      <c r="K145" s="111">
        <f t="shared" si="32"/>
        <v>8</v>
      </c>
      <c r="L145" s="111">
        <f t="shared" si="32"/>
        <v>2.8</v>
      </c>
    </row>
    <row r="146" spans="1:12" ht="18" customHeight="1" x14ac:dyDescent="0.25">
      <c r="A146" s="35">
        <v>5</v>
      </c>
      <c r="B146" s="142" t="s">
        <v>228</v>
      </c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</row>
    <row r="147" spans="1:12" s="65" customFormat="1" ht="18.75" customHeight="1" x14ac:dyDescent="0.25">
      <c r="B147" s="131" t="s">
        <v>134</v>
      </c>
      <c r="C147" s="94" t="s">
        <v>135</v>
      </c>
      <c r="D147" s="69">
        <v>50</v>
      </c>
      <c r="E147" s="44">
        <v>1.1000000000000001</v>
      </c>
      <c r="F147" s="44">
        <v>2.2999999999999998</v>
      </c>
      <c r="G147" s="44">
        <v>5.44</v>
      </c>
      <c r="H147" s="44">
        <v>46.85</v>
      </c>
      <c r="I147" s="44">
        <v>2.56</v>
      </c>
      <c r="J147" s="44">
        <v>15.32</v>
      </c>
      <c r="K147" s="44">
        <v>20.64</v>
      </c>
      <c r="L147" s="44">
        <v>0.61</v>
      </c>
    </row>
    <row r="148" spans="1:12" ht="18" customHeight="1" x14ac:dyDescent="0.25">
      <c r="B148" s="69" t="s">
        <v>141</v>
      </c>
      <c r="C148" s="64" t="s">
        <v>172</v>
      </c>
      <c r="D148" s="57">
        <v>200</v>
      </c>
      <c r="E148" s="68">
        <v>1.45</v>
      </c>
      <c r="F148" s="68">
        <v>3.93</v>
      </c>
      <c r="G148" s="68">
        <v>10.19</v>
      </c>
      <c r="H148" s="68">
        <v>82</v>
      </c>
      <c r="I148" s="68">
        <v>8.1999999999999993</v>
      </c>
      <c r="J148" s="68">
        <v>35.5</v>
      </c>
      <c r="K148" s="68">
        <v>21</v>
      </c>
      <c r="L148" s="68">
        <v>0.95</v>
      </c>
    </row>
    <row r="149" spans="1:12" s="65" customFormat="1" ht="18" customHeight="1" x14ac:dyDescent="0.25">
      <c r="B149" s="69" t="s">
        <v>173</v>
      </c>
      <c r="C149" s="64" t="s">
        <v>174</v>
      </c>
      <c r="D149" s="99">
        <v>80</v>
      </c>
      <c r="E149" s="68">
        <v>10.8</v>
      </c>
      <c r="F149" s="68">
        <v>12</v>
      </c>
      <c r="G149" s="68">
        <v>8.9</v>
      </c>
      <c r="H149" s="68">
        <v>187</v>
      </c>
      <c r="I149" s="68">
        <v>0.46</v>
      </c>
      <c r="J149" s="68">
        <v>12.9</v>
      </c>
      <c r="K149" s="68">
        <v>26.1</v>
      </c>
      <c r="L149" s="68">
        <v>1.5</v>
      </c>
    </row>
    <row r="150" spans="1:12" s="65" customFormat="1" ht="18" customHeight="1" x14ac:dyDescent="0.25">
      <c r="B150" s="131" t="s">
        <v>144</v>
      </c>
      <c r="C150" s="64" t="s">
        <v>145</v>
      </c>
      <c r="D150" s="132">
        <v>120</v>
      </c>
      <c r="E150" s="68">
        <v>2.1</v>
      </c>
      <c r="F150" s="68">
        <v>3.3</v>
      </c>
      <c r="G150" s="68">
        <v>15.7</v>
      </c>
      <c r="H150" s="68">
        <v>105</v>
      </c>
      <c r="I150" s="68">
        <v>4.3</v>
      </c>
      <c r="J150" s="68">
        <v>10.7</v>
      </c>
      <c r="K150" s="68">
        <v>23.4</v>
      </c>
      <c r="L150" s="68">
        <v>0.9</v>
      </c>
    </row>
    <row r="151" spans="1:12" s="65" customFormat="1" ht="17.45" customHeight="1" x14ac:dyDescent="0.25">
      <c r="B151" s="131" t="s">
        <v>87</v>
      </c>
      <c r="C151" s="64" t="s">
        <v>123</v>
      </c>
      <c r="D151" s="69">
        <v>200</v>
      </c>
      <c r="E151" s="68">
        <v>0.2</v>
      </c>
      <c r="F151" s="68">
        <v>0.1</v>
      </c>
      <c r="G151" s="68">
        <v>12.21</v>
      </c>
      <c r="H151" s="68">
        <v>49</v>
      </c>
      <c r="I151" s="68">
        <v>1.6</v>
      </c>
      <c r="J151" s="68">
        <v>5.88</v>
      </c>
      <c r="K151" s="68">
        <v>3.13</v>
      </c>
      <c r="L151" s="68">
        <v>0.79</v>
      </c>
    </row>
    <row r="152" spans="1:12" ht="18" customHeight="1" x14ac:dyDescent="0.25">
      <c r="B152" s="58"/>
      <c r="C152" s="113" t="s">
        <v>14</v>
      </c>
      <c r="D152" s="37">
        <f t="shared" ref="D152:L152" si="33">SUM(D147:D151)</f>
        <v>650</v>
      </c>
      <c r="E152" s="66">
        <f t="shared" si="33"/>
        <v>15.65</v>
      </c>
      <c r="F152" s="111">
        <f t="shared" si="33"/>
        <v>21.630000000000003</v>
      </c>
      <c r="G152" s="111">
        <f t="shared" si="33"/>
        <v>52.440000000000005</v>
      </c>
      <c r="H152" s="111">
        <f t="shared" si="33"/>
        <v>469.85</v>
      </c>
      <c r="I152" s="111">
        <f t="shared" si="33"/>
        <v>17.12</v>
      </c>
      <c r="J152" s="111">
        <f t="shared" si="33"/>
        <v>80.3</v>
      </c>
      <c r="K152" s="111">
        <f t="shared" si="33"/>
        <v>94.27000000000001</v>
      </c>
      <c r="L152" s="111">
        <f t="shared" si="33"/>
        <v>4.75</v>
      </c>
    </row>
    <row r="153" spans="1:12" ht="18" customHeight="1" x14ac:dyDescent="0.25">
      <c r="A153" s="35">
        <v>5</v>
      </c>
      <c r="B153" s="142" t="s">
        <v>229</v>
      </c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</row>
    <row r="154" spans="1:12" s="65" customFormat="1" ht="20.100000000000001" customHeight="1" x14ac:dyDescent="0.25">
      <c r="B154" s="132" t="s">
        <v>117</v>
      </c>
      <c r="C154" s="64" t="s">
        <v>118</v>
      </c>
      <c r="D154" s="69">
        <v>75</v>
      </c>
      <c r="E154" s="68">
        <v>0.51</v>
      </c>
      <c r="F154" s="68">
        <v>0.37</v>
      </c>
      <c r="G154" s="68">
        <v>13.1</v>
      </c>
      <c r="H154" s="68">
        <v>58.4</v>
      </c>
      <c r="I154" s="68">
        <v>3.4</v>
      </c>
      <c r="J154" s="68">
        <v>16.3</v>
      </c>
      <c r="K154" s="68">
        <v>11.1</v>
      </c>
      <c r="L154" s="68">
        <v>1.95</v>
      </c>
    </row>
    <row r="155" spans="1:12" s="65" customFormat="1" ht="18" customHeight="1" x14ac:dyDescent="0.25">
      <c r="B155" s="83"/>
      <c r="C155" s="113" t="s">
        <v>14</v>
      </c>
      <c r="D155" s="69">
        <f t="shared" ref="D155:L155" si="34">SUM(D154)</f>
        <v>75</v>
      </c>
      <c r="E155" s="83">
        <f t="shared" si="34"/>
        <v>0.51</v>
      </c>
      <c r="F155" s="83">
        <f t="shared" si="34"/>
        <v>0.37</v>
      </c>
      <c r="G155" s="83">
        <f t="shared" si="34"/>
        <v>13.1</v>
      </c>
      <c r="H155" s="83">
        <f t="shared" si="34"/>
        <v>58.4</v>
      </c>
      <c r="I155" s="83">
        <f t="shared" si="34"/>
        <v>3.4</v>
      </c>
      <c r="J155" s="83">
        <f t="shared" si="34"/>
        <v>16.3</v>
      </c>
      <c r="K155" s="83">
        <f t="shared" si="34"/>
        <v>11.1</v>
      </c>
      <c r="L155" s="83">
        <f t="shared" si="34"/>
        <v>1.95</v>
      </c>
    </row>
    <row r="156" spans="1:12" s="65" customFormat="1" ht="18" customHeight="1" x14ac:dyDescent="0.25">
      <c r="B156" s="139" t="s">
        <v>230</v>
      </c>
      <c r="C156" s="140"/>
      <c r="D156" s="140"/>
      <c r="E156" s="140"/>
      <c r="F156" s="140"/>
      <c r="G156" s="140"/>
      <c r="H156" s="140"/>
      <c r="I156" s="140"/>
      <c r="J156" s="140"/>
      <c r="K156" s="140"/>
      <c r="L156" s="141"/>
    </row>
    <row r="157" spans="1:12" s="65" customFormat="1" ht="18" customHeight="1" x14ac:dyDescent="0.25">
      <c r="B157" s="66" t="s">
        <v>142</v>
      </c>
      <c r="C157" s="64" t="s">
        <v>175</v>
      </c>
      <c r="D157" s="69">
        <v>80</v>
      </c>
      <c r="E157" s="68">
        <v>14.1</v>
      </c>
      <c r="F157" s="68">
        <v>9.8000000000000007</v>
      </c>
      <c r="G157" s="68">
        <v>1.4</v>
      </c>
      <c r="H157" s="68">
        <v>151.19999999999999</v>
      </c>
      <c r="I157" s="68">
        <v>1.1000000000000001</v>
      </c>
      <c r="J157" s="68">
        <v>15.3</v>
      </c>
      <c r="K157" s="68">
        <v>14.2</v>
      </c>
      <c r="L157" s="68">
        <v>0.9</v>
      </c>
    </row>
    <row r="158" spans="1:12" s="65" customFormat="1" ht="18" customHeight="1" x14ac:dyDescent="0.25">
      <c r="B158" s="111" t="s">
        <v>121</v>
      </c>
      <c r="C158" s="64" t="s">
        <v>176</v>
      </c>
      <c r="D158" s="69">
        <v>150</v>
      </c>
      <c r="E158" s="68">
        <v>3.2</v>
      </c>
      <c r="F158" s="68">
        <v>2.8</v>
      </c>
      <c r="G158" s="68">
        <v>11.9</v>
      </c>
      <c r="H158" s="68">
        <v>93</v>
      </c>
      <c r="I158" s="68">
        <v>31.2</v>
      </c>
      <c r="J158" s="68">
        <v>81.2</v>
      </c>
      <c r="K158" s="68">
        <v>46.5</v>
      </c>
      <c r="L158" s="68">
        <v>1</v>
      </c>
    </row>
    <row r="159" spans="1:12" s="65" customFormat="1" ht="19.5" customHeight="1" x14ac:dyDescent="0.25">
      <c r="B159" s="47" t="s">
        <v>116</v>
      </c>
      <c r="C159" s="48" t="s">
        <v>83</v>
      </c>
      <c r="D159" s="49">
        <v>200</v>
      </c>
      <c r="E159" s="68">
        <v>0.44</v>
      </c>
      <c r="F159" s="68">
        <v>0.02</v>
      </c>
      <c r="G159" s="68">
        <v>21.1</v>
      </c>
      <c r="H159" s="68">
        <v>86.3</v>
      </c>
      <c r="I159" s="68">
        <v>0.4</v>
      </c>
      <c r="J159" s="68">
        <v>31.6</v>
      </c>
      <c r="K159" s="68">
        <v>6</v>
      </c>
      <c r="L159" s="68">
        <v>1.23</v>
      </c>
    </row>
    <row r="160" spans="1:12" s="65" customFormat="1" ht="18" customHeight="1" x14ac:dyDescent="0.25">
      <c r="A160" s="65">
        <v>3</v>
      </c>
      <c r="B160" s="69" t="s">
        <v>254</v>
      </c>
      <c r="C160" s="64" t="s">
        <v>256</v>
      </c>
      <c r="D160" s="133">
        <v>120</v>
      </c>
      <c r="E160" s="68">
        <v>0.48</v>
      </c>
      <c r="F160" s="68">
        <v>0.48</v>
      </c>
      <c r="G160" s="68">
        <v>11.76</v>
      </c>
      <c r="H160" s="68">
        <v>56</v>
      </c>
      <c r="I160" s="68">
        <v>12</v>
      </c>
      <c r="J160" s="68">
        <v>19.2</v>
      </c>
      <c r="K160" s="68">
        <v>10.8</v>
      </c>
      <c r="L160" s="68">
        <v>2.64</v>
      </c>
    </row>
    <row r="161" spans="1:12" ht="18" customHeight="1" x14ac:dyDescent="0.25">
      <c r="A161" s="35">
        <v>5</v>
      </c>
      <c r="B161" s="111"/>
      <c r="C161" s="111" t="s">
        <v>14</v>
      </c>
      <c r="D161" s="112">
        <f t="shared" ref="D161:L161" si="35">SUM(D157:D160)</f>
        <v>550</v>
      </c>
      <c r="E161" s="111">
        <f t="shared" si="35"/>
        <v>18.220000000000002</v>
      </c>
      <c r="F161" s="111">
        <f t="shared" si="35"/>
        <v>13.100000000000001</v>
      </c>
      <c r="G161" s="111">
        <f t="shared" si="35"/>
        <v>46.160000000000004</v>
      </c>
      <c r="H161" s="111">
        <f t="shared" si="35"/>
        <v>386.5</v>
      </c>
      <c r="I161" s="111">
        <f t="shared" si="35"/>
        <v>44.699999999999996</v>
      </c>
      <c r="J161" s="111">
        <f t="shared" si="35"/>
        <v>147.29999999999998</v>
      </c>
      <c r="K161" s="111">
        <f t="shared" si="35"/>
        <v>77.5</v>
      </c>
      <c r="L161" s="111">
        <f t="shared" si="35"/>
        <v>5.77</v>
      </c>
    </row>
    <row r="162" spans="1:12" ht="18" customHeight="1" x14ac:dyDescent="0.25">
      <c r="A162" s="35">
        <v>5</v>
      </c>
      <c r="B162" s="111"/>
      <c r="C162" s="111" t="s">
        <v>20</v>
      </c>
      <c r="D162" s="129">
        <f>D142+D145+D152+D155+D161</f>
        <v>1871</v>
      </c>
      <c r="E162" s="111">
        <f t="shared" ref="E162:L162" si="36">E142+E145+E152+E155+E161</f>
        <v>41.760000000000005</v>
      </c>
      <c r="F162" s="111">
        <f t="shared" si="36"/>
        <v>45.510000000000005</v>
      </c>
      <c r="G162" s="111">
        <f t="shared" si="36"/>
        <v>150.09</v>
      </c>
      <c r="H162" s="111">
        <f>H142+H145+H152+H155+H161</f>
        <v>1192.3899999999999</v>
      </c>
      <c r="I162" s="111">
        <f t="shared" si="36"/>
        <v>69.449999999999989</v>
      </c>
      <c r="J162" s="111">
        <f t="shared" si="36"/>
        <v>282.61</v>
      </c>
      <c r="K162" s="111">
        <f t="shared" si="36"/>
        <v>223.97</v>
      </c>
      <c r="L162" s="111">
        <f t="shared" si="36"/>
        <v>16.77</v>
      </c>
    </row>
    <row r="163" spans="1:12" s="65" customFormat="1" ht="20.100000000000001" customHeight="1" x14ac:dyDescent="0.25">
      <c r="B163" s="122"/>
      <c r="C163" s="122" t="s">
        <v>91</v>
      </c>
      <c r="D163" s="123"/>
      <c r="E163" s="122">
        <v>54</v>
      </c>
      <c r="F163" s="122">
        <v>60</v>
      </c>
      <c r="G163" s="122">
        <v>261</v>
      </c>
      <c r="H163" s="122">
        <v>1800</v>
      </c>
      <c r="I163" s="122">
        <v>50</v>
      </c>
      <c r="J163" s="122">
        <v>900</v>
      </c>
      <c r="K163" s="122">
        <v>200</v>
      </c>
      <c r="L163" s="122">
        <v>10</v>
      </c>
    </row>
    <row r="164" spans="1:12" s="65" customFormat="1" ht="20.100000000000001" customHeight="1" x14ac:dyDescent="0.25">
      <c r="B164" s="124"/>
      <c r="C164" s="124" t="s">
        <v>92</v>
      </c>
      <c r="D164" s="125"/>
      <c r="E164" s="124">
        <f>ROUND(E162/E163*100-100,2)</f>
        <v>-22.67</v>
      </c>
      <c r="F164" s="124">
        <f t="shared" ref="F164:L164" si="37">ROUND(F162/F163*100-100,2)</f>
        <v>-24.15</v>
      </c>
      <c r="G164" s="124">
        <f t="shared" si="37"/>
        <v>-42.49</v>
      </c>
      <c r="H164" s="124">
        <f t="shared" si="37"/>
        <v>-33.76</v>
      </c>
      <c r="I164" s="124">
        <f t="shared" si="37"/>
        <v>38.9</v>
      </c>
      <c r="J164" s="124">
        <f t="shared" si="37"/>
        <v>-68.599999999999994</v>
      </c>
      <c r="K164" s="124">
        <f t="shared" si="37"/>
        <v>11.99</v>
      </c>
      <c r="L164" s="124">
        <f t="shared" si="37"/>
        <v>67.7</v>
      </c>
    </row>
    <row r="165" spans="1:12" s="30" customFormat="1" ht="20.100000000000001" customHeight="1" x14ac:dyDescent="0.25">
      <c r="B165" s="31" t="s">
        <v>69</v>
      </c>
      <c r="C165" s="32"/>
      <c r="D165" s="41"/>
      <c r="E165" s="42"/>
      <c r="F165" s="42"/>
      <c r="G165" s="42"/>
      <c r="H165" s="42"/>
      <c r="I165" s="42"/>
      <c r="J165" s="42"/>
      <c r="K165" s="42"/>
      <c r="L165" s="42"/>
    </row>
    <row r="166" spans="1:12" s="30" customFormat="1" ht="20.100000000000001" customHeight="1" x14ac:dyDescent="0.25">
      <c r="B166" s="31" t="s">
        <v>70</v>
      </c>
      <c r="C166" s="32"/>
      <c r="D166" s="41"/>
      <c r="E166" s="42"/>
      <c r="F166" s="42"/>
      <c r="G166" s="42"/>
      <c r="H166" s="42"/>
      <c r="I166" s="42"/>
      <c r="J166" s="42"/>
      <c r="K166" s="42"/>
      <c r="L166" s="42"/>
    </row>
    <row r="167" spans="1:12" s="30" customFormat="1" ht="20.100000000000001" customHeight="1" x14ac:dyDescent="0.25">
      <c r="B167" s="31" t="s">
        <v>204</v>
      </c>
      <c r="C167" s="32"/>
      <c r="D167" s="41"/>
      <c r="E167" s="42"/>
      <c r="F167" s="42"/>
      <c r="G167" s="42"/>
      <c r="H167" s="42"/>
      <c r="I167" s="42"/>
      <c r="J167" s="42"/>
      <c r="K167" s="42"/>
      <c r="L167" s="42"/>
    </row>
    <row r="168" spans="1:12" s="30" customFormat="1" ht="20.100000000000001" hidden="1" customHeight="1" x14ac:dyDescent="0.25">
      <c r="B168" s="40"/>
      <c r="C168" s="40"/>
      <c r="D168" s="41"/>
      <c r="E168" s="42"/>
      <c r="F168" s="42"/>
      <c r="G168" s="42"/>
      <c r="H168" s="42"/>
      <c r="I168" s="42"/>
      <c r="J168" s="42"/>
      <c r="K168" s="42"/>
      <c r="L168" s="42"/>
    </row>
    <row r="169" spans="1:12" s="30" customFormat="1" ht="35.25" customHeight="1" x14ac:dyDescent="0.25">
      <c r="B169" s="151" t="s">
        <v>0</v>
      </c>
      <c r="C169" s="151" t="s">
        <v>1</v>
      </c>
      <c r="D169" s="145" t="s">
        <v>2</v>
      </c>
      <c r="E169" s="139" t="s">
        <v>3</v>
      </c>
      <c r="F169" s="140"/>
      <c r="G169" s="141"/>
      <c r="H169" s="147" t="s">
        <v>4</v>
      </c>
      <c r="I169" s="111"/>
      <c r="J169" s="139" t="s">
        <v>5</v>
      </c>
      <c r="K169" s="140"/>
      <c r="L169" s="141"/>
    </row>
    <row r="170" spans="1:12" s="30" customFormat="1" ht="31.5" customHeight="1" x14ac:dyDescent="0.25">
      <c r="B170" s="152"/>
      <c r="C170" s="152"/>
      <c r="D170" s="146"/>
      <c r="E170" s="111" t="s">
        <v>6</v>
      </c>
      <c r="F170" s="111" t="s">
        <v>7</v>
      </c>
      <c r="G170" s="111" t="s">
        <v>8</v>
      </c>
      <c r="H170" s="148"/>
      <c r="I170" s="111" t="s">
        <v>9</v>
      </c>
      <c r="J170" s="111" t="s">
        <v>10</v>
      </c>
      <c r="K170" s="111" t="s">
        <v>11</v>
      </c>
      <c r="L170" s="111" t="s">
        <v>12</v>
      </c>
    </row>
    <row r="171" spans="1:12" ht="20.100000000000001" customHeight="1" x14ac:dyDescent="0.25">
      <c r="A171" s="35">
        <v>6</v>
      </c>
      <c r="B171" s="142" t="s">
        <v>231</v>
      </c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</row>
    <row r="172" spans="1:12" s="65" customFormat="1" ht="19.149999999999999" customHeight="1" x14ac:dyDescent="0.25">
      <c r="A172" s="65">
        <v>3</v>
      </c>
      <c r="B172" s="51" t="s">
        <v>104</v>
      </c>
      <c r="C172" s="64" t="s">
        <v>140</v>
      </c>
      <c r="D172" s="130" t="s">
        <v>205</v>
      </c>
      <c r="E172" s="38">
        <v>6.41</v>
      </c>
      <c r="F172" s="38">
        <v>9.8000000000000007</v>
      </c>
      <c r="G172" s="38">
        <v>11.8</v>
      </c>
      <c r="H172" s="38">
        <v>161.80000000000001</v>
      </c>
      <c r="I172" s="38">
        <v>0.21</v>
      </c>
      <c r="J172" s="38">
        <v>7.49</v>
      </c>
      <c r="K172" s="38">
        <v>45.9</v>
      </c>
      <c r="L172" s="38">
        <v>1.64</v>
      </c>
    </row>
    <row r="173" spans="1:12" s="65" customFormat="1" ht="20.100000000000001" customHeight="1" x14ac:dyDescent="0.25">
      <c r="A173" s="65">
        <v>1</v>
      </c>
      <c r="B173" s="132" t="s">
        <v>106</v>
      </c>
      <c r="C173" s="64" t="s">
        <v>93</v>
      </c>
      <c r="D173" s="69" t="s">
        <v>206</v>
      </c>
      <c r="E173" s="38">
        <v>0.01</v>
      </c>
      <c r="F173" s="38">
        <v>0.01</v>
      </c>
      <c r="G173" s="38">
        <v>5.99</v>
      </c>
      <c r="H173" s="38">
        <v>23.94</v>
      </c>
      <c r="I173" s="38">
        <v>0.02</v>
      </c>
      <c r="J173" s="38">
        <v>9.91</v>
      </c>
      <c r="K173" s="38">
        <v>1.3</v>
      </c>
      <c r="L173" s="38">
        <v>0.27</v>
      </c>
    </row>
    <row r="174" spans="1:12" s="65" customFormat="1" ht="18" customHeight="1" x14ac:dyDescent="0.25">
      <c r="A174" s="65">
        <v>6</v>
      </c>
      <c r="B174" s="70"/>
      <c r="C174" s="70" t="s">
        <v>14</v>
      </c>
      <c r="D174" s="75">
        <v>396</v>
      </c>
      <c r="E174" s="70">
        <f t="shared" ref="E174:L174" si="38">SUM(E172:E173)</f>
        <v>6.42</v>
      </c>
      <c r="F174" s="85">
        <f t="shared" si="38"/>
        <v>9.81</v>
      </c>
      <c r="G174" s="85">
        <f t="shared" si="38"/>
        <v>17.79</v>
      </c>
      <c r="H174" s="85">
        <f t="shared" si="38"/>
        <v>185.74</v>
      </c>
      <c r="I174" s="85">
        <f t="shared" si="38"/>
        <v>0.22999999999999998</v>
      </c>
      <c r="J174" s="85">
        <f t="shared" si="38"/>
        <v>17.399999999999999</v>
      </c>
      <c r="K174" s="85">
        <f t="shared" si="38"/>
        <v>47.199999999999996</v>
      </c>
      <c r="L174" s="85">
        <f t="shared" si="38"/>
        <v>1.91</v>
      </c>
    </row>
    <row r="175" spans="1:12" s="65" customFormat="1" ht="18" customHeight="1" x14ac:dyDescent="0.25">
      <c r="B175" s="139" t="s">
        <v>232</v>
      </c>
      <c r="C175" s="140"/>
      <c r="D175" s="140"/>
      <c r="E175" s="140"/>
      <c r="F175" s="140"/>
      <c r="G175" s="140"/>
      <c r="H175" s="140"/>
      <c r="I175" s="140"/>
      <c r="J175" s="140"/>
      <c r="K175" s="140"/>
      <c r="L175" s="141"/>
    </row>
    <row r="176" spans="1:12" s="65" customFormat="1" ht="18" customHeight="1" x14ac:dyDescent="0.25">
      <c r="B176" s="70" t="s">
        <v>254</v>
      </c>
      <c r="C176" s="64" t="s">
        <v>256</v>
      </c>
      <c r="D176" s="71">
        <v>120</v>
      </c>
      <c r="E176" s="38">
        <v>0.48</v>
      </c>
      <c r="F176" s="38">
        <v>0.48</v>
      </c>
      <c r="G176" s="38">
        <v>11.76</v>
      </c>
      <c r="H176" s="38">
        <v>56</v>
      </c>
      <c r="I176" s="38">
        <v>12</v>
      </c>
      <c r="J176" s="38">
        <v>19.2</v>
      </c>
      <c r="K176" s="38">
        <v>10.8</v>
      </c>
      <c r="L176" s="38">
        <v>2.64</v>
      </c>
    </row>
    <row r="177" spans="1:12" s="65" customFormat="1" ht="18" customHeight="1" x14ac:dyDescent="0.25">
      <c r="B177" s="70"/>
      <c r="C177" s="113" t="s">
        <v>14</v>
      </c>
      <c r="D177" s="71">
        <f>D176</f>
        <v>120</v>
      </c>
      <c r="E177" s="51">
        <f>E176</f>
        <v>0.48</v>
      </c>
      <c r="F177" s="51">
        <f t="shared" ref="F177:L177" si="39">F176</f>
        <v>0.48</v>
      </c>
      <c r="G177" s="51">
        <f t="shared" si="39"/>
        <v>11.76</v>
      </c>
      <c r="H177" s="51">
        <f t="shared" si="39"/>
        <v>56</v>
      </c>
      <c r="I177" s="51">
        <f t="shared" si="39"/>
        <v>12</v>
      </c>
      <c r="J177" s="51">
        <f t="shared" si="39"/>
        <v>19.2</v>
      </c>
      <c r="K177" s="51">
        <f t="shared" si="39"/>
        <v>10.8</v>
      </c>
      <c r="L177" s="51">
        <f t="shared" si="39"/>
        <v>2.64</v>
      </c>
    </row>
    <row r="178" spans="1:12" ht="18" customHeight="1" x14ac:dyDescent="0.25">
      <c r="A178" s="35">
        <v>6</v>
      </c>
      <c r="B178" s="150" t="s">
        <v>233</v>
      </c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</row>
    <row r="179" spans="1:12" s="65" customFormat="1" ht="20.45" customHeight="1" x14ac:dyDescent="0.25">
      <c r="A179" s="65">
        <v>3</v>
      </c>
      <c r="B179" s="69" t="s">
        <v>147</v>
      </c>
      <c r="C179" s="64" t="s">
        <v>148</v>
      </c>
      <c r="D179" s="69">
        <v>50</v>
      </c>
      <c r="E179" s="68">
        <v>0.7</v>
      </c>
      <c r="F179" s="68">
        <v>2.54</v>
      </c>
      <c r="G179" s="68">
        <v>4.51</v>
      </c>
      <c r="H179" s="68">
        <v>43.7</v>
      </c>
      <c r="I179" s="68">
        <v>16.23</v>
      </c>
      <c r="J179" s="68">
        <v>18.690000000000001</v>
      </c>
      <c r="K179" s="68">
        <v>7.58</v>
      </c>
      <c r="L179" s="68">
        <v>0.26</v>
      </c>
    </row>
    <row r="180" spans="1:12" ht="18" customHeight="1" x14ac:dyDescent="0.25">
      <c r="B180" s="47" t="s">
        <v>156</v>
      </c>
      <c r="C180" s="48" t="s">
        <v>157</v>
      </c>
      <c r="D180" s="49">
        <v>50</v>
      </c>
      <c r="E180" s="68">
        <v>0.5</v>
      </c>
      <c r="F180" s="68">
        <v>3</v>
      </c>
      <c r="G180" s="68">
        <v>1.5</v>
      </c>
      <c r="H180" s="68">
        <v>36</v>
      </c>
      <c r="I180" s="68">
        <v>8.1</v>
      </c>
      <c r="J180" s="68">
        <v>9.4</v>
      </c>
      <c r="K180" s="68">
        <v>7.8</v>
      </c>
      <c r="L180" s="68">
        <v>0.4</v>
      </c>
    </row>
    <row r="181" spans="1:12" s="65" customFormat="1" ht="18" customHeight="1" x14ac:dyDescent="0.25">
      <c r="B181" s="47"/>
      <c r="C181" s="48" t="s">
        <v>39</v>
      </c>
      <c r="D181" s="49"/>
      <c r="E181" s="103">
        <f>SUM(E179:E180)/2</f>
        <v>0.6</v>
      </c>
      <c r="F181" s="103">
        <f t="shared" ref="F181" si="40">SUM(F179:F180)/2</f>
        <v>2.77</v>
      </c>
      <c r="G181" s="103">
        <f t="shared" ref="G181" si="41">SUM(G179:G180)/2</f>
        <v>3.0049999999999999</v>
      </c>
      <c r="H181" s="103">
        <f t="shared" ref="H181" si="42">SUM(H179:H180)/2</f>
        <v>39.85</v>
      </c>
      <c r="I181" s="103">
        <f t="shared" ref="I181" si="43">SUM(I179:I180)/2</f>
        <v>12.164999999999999</v>
      </c>
      <c r="J181" s="103">
        <f t="shared" ref="J181" si="44">SUM(J179:J180)/2</f>
        <v>14.045000000000002</v>
      </c>
      <c r="K181" s="103">
        <f t="shared" ref="K181" si="45">SUM(K179:K180)/2</f>
        <v>7.6899999999999995</v>
      </c>
      <c r="L181" s="103">
        <f t="shared" ref="L181" si="46">SUM(L179:L180)/2</f>
        <v>0.33</v>
      </c>
    </row>
    <row r="182" spans="1:12" ht="18" customHeight="1" x14ac:dyDescent="0.25">
      <c r="B182" s="47" t="s">
        <v>178</v>
      </c>
      <c r="C182" s="48" t="s">
        <v>179</v>
      </c>
      <c r="D182" s="49">
        <v>250</v>
      </c>
      <c r="E182" s="68">
        <v>1.48</v>
      </c>
      <c r="F182" s="68">
        <v>4.91</v>
      </c>
      <c r="G182" s="68">
        <v>6.08</v>
      </c>
      <c r="H182" s="68">
        <v>76.25</v>
      </c>
      <c r="I182" s="68">
        <v>9.5</v>
      </c>
      <c r="J182" s="68">
        <v>35.9</v>
      </c>
      <c r="K182" s="68">
        <v>14.2</v>
      </c>
      <c r="L182" s="68">
        <v>0.57999999999999996</v>
      </c>
    </row>
    <row r="183" spans="1:12" s="65" customFormat="1" ht="18" customHeight="1" x14ac:dyDescent="0.25">
      <c r="B183" s="47" t="s">
        <v>112</v>
      </c>
      <c r="C183" s="48" t="s">
        <v>180</v>
      </c>
      <c r="D183" s="49">
        <v>80</v>
      </c>
      <c r="E183" s="68">
        <v>8.6</v>
      </c>
      <c r="F183" s="68">
        <v>22.63</v>
      </c>
      <c r="G183" s="68">
        <v>1.23</v>
      </c>
      <c r="H183" s="68">
        <v>242.8</v>
      </c>
      <c r="I183" s="68">
        <v>1.5</v>
      </c>
      <c r="J183" s="68">
        <v>8.7799999999999994</v>
      </c>
      <c r="K183" s="68">
        <v>16.2</v>
      </c>
      <c r="L183" s="68">
        <v>1.1200000000000001</v>
      </c>
    </row>
    <row r="184" spans="1:12" s="65" customFormat="1" ht="18" customHeight="1" x14ac:dyDescent="0.25">
      <c r="B184" s="47" t="s">
        <v>181</v>
      </c>
      <c r="C184" s="48" t="s">
        <v>182</v>
      </c>
      <c r="D184" s="49">
        <v>130</v>
      </c>
      <c r="E184" s="68">
        <v>1.73</v>
      </c>
      <c r="F184" s="68">
        <v>0.35</v>
      </c>
      <c r="G184" s="68">
        <v>15.3</v>
      </c>
      <c r="H184" s="68">
        <v>71.5</v>
      </c>
      <c r="I184" s="68">
        <v>3.4</v>
      </c>
      <c r="J184" s="68">
        <v>12.7</v>
      </c>
      <c r="K184" s="68">
        <v>24.3</v>
      </c>
      <c r="L184" s="68">
        <v>2</v>
      </c>
    </row>
    <row r="185" spans="1:12" s="65" customFormat="1" ht="17.45" customHeight="1" x14ac:dyDescent="0.25">
      <c r="B185" s="131" t="s">
        <v>87</v>
      </c>
      <c r="C185" s="64" t="s">
        <v>123</v>
      </c>
      <c r="D185" s="69">
        <v>200</v>
      </c>
      <c r="E185" s="68">
        <v>0.2</v>
      </c>
      <c r="F185" s="68">
        <v>0.1</v>
      </c>
      <c r="G185" s="68">
        <v>12.21</v>
      </c>
      <c r="H185" s="68">
        <v>49</v>
      </c>
      <c r="I185" s="68">
        <v>1.6</v>
      </c>
      <c r="J185" s="68">
        <v>5.88</v>
      </c>
      <c r="K185" s="68">
        <v>3.13</v>
      </c>
      <c r="L185" s="68">
        <v>0.79</v>
      </c>
    </row>
    <row r="186" spans="1:12" ht="18" customHeight="1" x14ac:dyDescent="0.25">
      <c r="A186" s="35">
        <v>6</v>
      </c>
      <c r="B186" s="47"/>
      <c r="C186" s="113" t="s">
        <v>14</v>
      </c>
      <c r="D186" s="49">
        <v>710</v>
      </c>
      <c r="E186" s="85">
        <f t="shared" ref="E186:L186" si="47">SUM(E181:E185)</f>
        <v>12.61</v>
      </c>
      <c r="F186" s="103">
        <f t="shared" si="47"/>
        <v>30.76</v>
      </c>
      <c r="G186" s="103">
        <f t="shared" si="47"/>
        <v>37.825000000000003</v>
      </c>
      <c r="H186" s="103">
        <f t="shared" si="47"/>
        <v>479.4</v>
      </c>
      <c r="I186" s="103">
        <f t="shared" si="47"/>
        <v>28.164999999999999</v>
      </c>
      <c r="J186" s="103">
        <f t="shared" si="47"/>
        <v>77.304999999999993</v>
      </c>
      <c r="K186" s="103">
        <f t="shared" si="47"/>
        <v>65.52</v>
      </c>
      <c r="L186" s="103">
        <f t="shared" si="47"/>
        <v>4.82</v>
      </c>
    </row>
    <row r="187" spans="1:12" ht="18" customHeight="1" x14ac:dyDescent="0.25">
      <c r="A187" s="35">
        <v>6</v>
      </c>
      <c r="B187" s="142" t="s">
        <v>234</v>
      </c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</row>
    <row r="188" spans="1:12" s="65" customFormat="1" ht="22.15" customHeight="1" x14ac:dyDescent="0.25">
      <c r="B188" s="134" t="s">
        <v>259</v>
      </c>
      <c r="C188" s="64" t="s">
        <v>146</v>
      </c>
      <c r="D188" s="69">
        <v>150</v>
      </c>
      <c r="E188" s="68">
        <v>0.9</v>
      </c>
      <c r="F188" s="68">
        <v>0.2</v>
      </c>
      <c r="G188" s="68">
        <v>8.3000000000000007</v>
      </c>
      <c r="H188" s="68">
        <v>39</v>
      </c>
      <c r="I188" s="68">
        <v>3.29</v>
      </c>
      <c r="J188" s="68">
        <v>21</v>
      </c>
      <c r="K188" s="68">
        <v>22</v>
      </c>
      <c r="L188" s="68">
        <v>1.38</v>
      </c>
    </row>
    <row r="189" spans="1:12" s="65" customFormat="1" ht="18" customHeight="1" x14ac:dyDescent="0.25">
      <c r="B189" s="85"/>
      <c r="C189" s="113" t="s">
        <v>14</v>
      </c>
      <c r="D189" s="69">
        <f t="shared" ref="D189:L189" si="48">SUM(D188)</f>
        <v>150</v>
      </c>
      <c r="E189" s="85">
        <f t="shared" si="48"/>
        <v>0.9</v>
      </c>
      <c r="F189" s="126">
        <f t="shared" si="48"/>
        <v>0.2</v>
      </c>
      <c r="G189" s="126">
        <f t="shared" si="48"/>
        <v>8.3000000000000007</v>
      </c>
      <c r="H189" s="126">
        <f t="shared" si="48"/>
        <v>39</v>
      </c>
      <c r="I189" s="126">
        <f t="shared" si="48"/>
        <v>3.29</v>
      </c>
      <c r="J189" s="126">
        <f t="shared" si="48"/>
        <v>21</v>
      </c>
      <c r="K189" s="126">
        <f t="shared" si="48"/>
        <v>22</v>
      </c>
      <c r="L189" s="126">
        <f t="shared" si="48"/>
        <v>1.38</v>
      </c>
    </row>
    <row r="190" spans="1:12" s="65" customFormat="1" ht="18" customHeight="1" x14ac:dyDescent="0.25">
      <c r="B190" s="139" t="s">
        <v>235</v>
      </c>
      <c r="C190" s="140"/>
      <c r="D190" s="140"/>
      <c r="E190" s="140"/>
      <c r="F190" s="140"/>
      <c r="G190" s="140"/>
      <c r="H190" s="140"/>
      <c r="I190" s="140"/>
      <c r="J190" s="140"/>
      <c r="K190" s="140"/>
      <c r="L190" s="141"/>
    </row>
    <row r="191" spans="1:12" ht="18" customHeight="1" x14ac:dyDescent="0.25">
      <c r="A191" s="35">
        <v>6</v>
      </c>
      <c r="B191" s="36" t="s">
        <v>183</v>
      </c>
      <c r="C191" s="22" t="s">
        <v>184</v>
      </c>
      <c r="D191" s="69">
        <v>80</v>
      </c>
      <c r="E191" s="68">
        <v>10.64</v>
      </c>
      <c r="F191" s="68">
        <v>6.98</v>
      </c>
      <c r="G191" s="68">
        <v>3.49</v>
      </c>
      <c r="H191" s="68">
        <v>119.3</v>
      </c>
      <c r="I191" s="68">
        <v>1.1000000000000001</v>
      </c>
      <c r="J191" s="68">
        <v>30.7</v>
      </c>
      <c r="K191" s="68">
        <v>31.4</v>
      </c>
      <c r="L191" s="68">
        <v>0.61</v>
      </c>
    </row>
    <row r="192" spans="1:12" ht="18" customHeight="1" x14ac:dyDescent="0.25">
      <c r="B192" s="70" t="s">
        <v>185</v>
      </c>
      <c r="C192" s="64" t="s">
        <v>186</v>
      </c>
      <c r="D192" s="37">
        <v>150</v>
      </c>
      <c r="E192" s="68">
        <v>1.43</v>
      </c>
      <c r="F192" s="68">
        <v>4.82</v>
      </c>
      <c r="G192" s="68">
        <v>8.51</v>
      </c>
      <c r="H192" s="68">
        <v>83.1</v>
      </c>
      <c r="I192" s="68">
        <v>6.65</v>
      </c>
      <c r="J192" s="68">
        <v>21.6</v>
      </c>
      <c r="K192" s="68">
        <v>19.7</v>
      </c>
      <c r="L192" s="68">
        <v>0.6</v>
      </c>
    </row>
    <row r="193" spans="1:12" s="65" customFormat="1" ht="18" customHeight="1" x14ac:dyDescent="0.25">
      <c r="B193" s="103" t="s">
        <v>107</v>
      </c>
      <c r="C193" s="64" t="s">
        <v>84</v>
      </c>
      <c r="D193" s="129">
        <v>200</v>
      </c>
      <c r="E193" s="68">
        <v>1</v>
      </c>
      <c r="F193" s="68">
        <v>0</v>
      </c>
      <c r="G193" s="68">
        <v>20.2</v>
      </c>
      <c r="H193" s="68">
        <v>85.3</v>
      </c>
      <c r="I193" s="68">
        <v>4</v>
      </c>
      <c r="J193" s="68">
        <v>14</v>
      </c>
      <c r="K193" s="68">
        <v>8</v>
      </c>
      <c r="L193" s="68">
        <v>2.8</v>
      </c>
    </row>
    <row r="194" spans="1:12" s="65" customFormat="1" ht="18" customHeight="1" x14ac:dyDescent="0.25">
      <c r="A194" s="65">
        <v>3</v>
      </c>
      <c r="B194" s="69" t="s">
        <v>254</v>
      </c>
      <c r="C194" s="64" t="s">
        <v>253</v>
      </c>
      <c r="D194" s="133">
        <v>100</v>
      </c>
      <c r="E194" s="68">
        <v>0.4</v>
      </c>
      <c r="F194" s="68">
        <v>0.3</v>
      </c>
      <c r="G194" s="68">
        <v>10.3</v>
      </c>
      <c r="H194" s="68">
        <v>46</v>
      </c>
      <c r="I194" s="68">
        <v>5</v>
      </c>
      <c r="J194" s="68">
        <v>19</v>
      </c>
      <c r="K194" s="68">
        <v>12</v>
      </c>
      <c r="L194" s="68">
        <v>2.2999999999999998</v>
      </c>
    </row>
    <row r="195" spans="1:12" ht="18" customHeight="1" x14ac:dyDescent="0.25">
      <c r="B195" s="56"/>
      <c r="C195" s="113" t="s">
        <v>14</v>
      </c>
      <c r="D195" s="57">
        <f t="shared" ref="D195:L195" si="49">SUM(D191:D194)</f>
        <v>530</v>
      </c>
      <c r="E195" s="51">
        <f t="shared" si="49"/>
        <v>13.47</v>
      </c>
      <c r="F195" s="51">
        <f t="shared" si="49"/>
        <v>12.100000000000001</v>
      </c>
      <c r="G195" s="51">
        <f t="shared" si="49"/>
        <v>42.5</v>
      </c>
      <c r="H195" s="51">
        <f t="shared" si="49"/>
        <v>333.7</v>
      </c>
      <c r="I195" s="51">
        <f t="shared" si="49"/>
        <v>16.75</v>
      </c>
      <c r="J195" s="51">
        <f t="shared" si="49"/>
        <v>85.3</v>
      </c>
      <c r="K195" s="51">
        <f t="shared" si="49"/>
        <v>71.099999999999994</v>
      </c>
      <c r="L195" s="51">
        <f t="shared" si="49"/>
        <v>6.31</v>
      </c>
    </row>
    <row r="196" spans="1:12" ht="18" customHeight="1" x14ac:dyDescent="0.25">
      <c r="B196" s="59"/>
      <c r="C196" s="85" t="s">
        <v>21</v>
      </c>
      <c r="D196" s="60">
        <f>D174+D177+D186+D189+D195</f>
        <v>1906</v>
      </c>
      <c r="E196" s="51">
        <f t="shared" ref="E196:L196" si="50">E174+E177+E186+E195+E189</f>
        <v>33.879999999999995</v>
      </c>
      <c r="F196" s="51">
        <f t="shared" si="50"/>
        <v>53.350000000000009</v>
      </c>
      <c r="G196" s="51">
        <f t="shared" si="50"/>
        <v>118.175</v>
      </c>
      <c r="H196" s="51">
        <f>H174+H177+H186+H195+H189</f>
        <v>1093.8399999999999</v>
      </c>
      <c r="I196" s="51">
        <f t="shared" si="50"/>
        <v>60.434999999999995</v>
      </c>
      <c r="J196" s="51">
        <f t="shared" si="50"/>
        <v>220.20499999999998</v>
      </c>
      <c r="K196" s="51">
        <f t="shared" si="50"/>
        <v>216.62</v>
      </c>
      <c r="L196" s="51">
        <f t="shared" si="50"/>
        <v>17.059999999999999</v>
      </c>
    </row>
    <row r="197" spans="1:12" s="65" customFormat="1" ht="20.100000000000001" customHeight="1" x14ac:dyDescent="0.25">
      <c r="B197" s="122"/>
      <c r="C197" s="122" t="s">
        <v>91</v>
      </c>
      <c r="D197" s="123"/>
      <c r="E197" s="122">
        <v>54</v>
      </c>
      <c r="F197" s="122">
        <v>60</v>
      </c>
      <c r="G197" s="122">
        <v>261</v>
      </c>
      <c r="H197" s="122">
        <v>1800</v>
      </c>
      <c r="I197" s="122">
        <v>50</v>
      </c>
      <c r="J197" s="122">
        <v>900</v>
      </c>
      <c r="K197" s="122">
        <v>200</v>
      </c>
      <c r="L197" s="122">
        <v>10</v>
      </c>
    </row>
    <row r="198" spans="1:12" s="65" customFormat="1" ht="20.100000000000001" customHeight="1" x14ac:dyDescent="0.25">
      <c r="B198" s="124"/>
      <c r="C198" s="124" t="s">
        <v>92</v>
      </c>
      <c r="D198" s="125"/>
      <c r="E198" s="124">
        <f>ROUND(E196/E197*100-100,2)</f>
        <v>-37.26</v>
      </c>
      <c r="F198" s="124">
        <f t="shared" ref="F198:L198" si="51">ROUND(F196/F197*100-100,2)</f>
        <v>-11.08</v>
      </c>
      <c r="G198" s="124">
        <f t="shared" si="51"/>
        <v>-54.72</v>
      </c>
      <c r="H198" s="124">
        <f t="shared" si="51"/>
        <v>-39.229999999999997</v>
      </c>
      <c r="I198" s="124">
        <f t="shared" si="51"/>
        <v>20.87</v>
      </c>
      <c r="J198" s="124">
        <f t="shared" si="51"/>
        <v>-75.53</v>
      </c>
      <c r="K198" s="124">
        <f t="shared" si="51"/>
        <v>8.31</v>
      </c>
      <c r="L198" s="124">
        <f t="shared" si="51"/>
        <v>70.599999999999994</v>
      </c>
    </row>
    <row r="199" spans="1:12" s="30" customFormat="1" ht="20.100000000000001" customHeight="1" x14ac:dyDescent="0.25">
      <c r="B199" s="31" t="s">
        <v>71</v>
      </c>
      <c r="C199" s="32"/>
      <c r="D199" s="41"/>
      <c r="E199" s="42"/>
      <c r="F199" s="42"/>
      <c r="G199" s="42"/>
      <c r="H199" s="42"/>
      <c r="I199" s="42"/>
      <c r="J199" s="42"/>
      <c r="K199" s="42"/>
      <c r="L199" s="42"/>
    </row>
    <row r="200" spans="1:12" s="30" customFormat="1" ht="20.100000000000001" customHeight="1" x14ac:dyDescent="0.25">
      <c r="B200" s="31" t="s">
        <v>70</v>
      </c>
      <c r="C200" s="32"/>
      <c r="D200" s="41"/>
      <c r="E200" s="42"/>
      <c r="F200" s="42"/>
      <c r="G200" s="42"/>
      <c r="H200" s="42"/>
      <c r="I200" s="42"/>
      <c r="J200" s="42"/>
      <c r="K200" s="42"/>
      <c r="L200" s="42"/>
    </row>
    <row r="201" spans="1:12" s="30" customFormat="1" x14ac:dyDescent="0.25">
      <c r="B201" s="31" t="s">
        <v>204</v>
      </c>
      <c r="C201" s="32"/>
      <c r="D201" s="33"/>
      <c r="E201" s="34"/>
      <c r="F201" s="34"/>
      <c r="G201" s="34"/>
      <c r="H201" s="34"/>
      <c r="I201" s="34"/>
      <c r="J201" s="34"/>
      <c r="K201" s="34"/>
      <c r="L201" s="34"/>
    </row>
    <row r="202" spans="1:12" s="30" customFormat="1" ht="36.75" customHeight="1" x14ac:dyDescent="0.25">
      <c r="B202" s="143" t="s">
        <v>0</v>
      </c>
      <c r="C202" s="143" t="s">
        <v>1</v>
      </c>
      <c r="D202" s="144" t="s">
        <v>2</v>
      </c>
      <c r="E202" s="142" t="s">
        <v>3</v>
      </c>
      <c r="F202" s="142"/>
      <c r="G202" s="142"/>
      <c r="H202" s="142" t="s">
        <v>4</v>
      </c>
      <c r="I202" s="101"/>
      <c r="J202" s="142" t="s">
        <v>5</v>
      </c>
      <c r="K202" s="142"/>
      <c r="L202" s="142"/>
    </row>
    <row r="203" spans="1:12" s="30" customFormat="1" ht="27" customHeight="1" x14ac:dyDescent="0.25">
      <c r="B203" s="143"/>
      <c r="C203" s="143"/>
      <c r="D203" s="144"/>
      <c r="E203" s="36" t="s">
        <v>6</v>
      </c>
      <c r="F203" s="36" t="s">
        <v>7</v>
      </c>
      <c r="G203" s="36" t="s">
        <v>8</v>
      </c>
      <c r="H203" s="142"/>
      <c r="I203" s="36" t="s">
        <v>9</v>
      </c>
      <c r="J203" s="36" t="s">
        <v>10</v>
      </c>
      <c r="K203" s="36" t="s">
        <v>11</v>
      </c>
      <c r="L203" s="36" t="s">
        <v>12</v>
      </c>
    </row>
    <row r="204" spans="1:12" ht="18" customHeight="1" x14ac:dyDescent="0.25">
      <c r="A204" s="35">
        <v>7</v>
      </c>
      <c r="B204" s="142" t="s">
        <v>238</v>
      </c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</row>
    <row r="205" spans="1:12" s="65" customFormat="1" ht="17.45" customHeight="1" x14ac:dyDescent="0.25">
      <c r="A205" s="65">
        <v>4</v>
      </c>
      <c r="B205" s="131" t="s">
        <v>154</v>
      </c>
      <c r="C205" s="64" t="s">
        <v>155</v>
      </c>
      <c r="D205" s="69">
        <v>250</v>
      </c>
      <c r="E205" s="68">
        <v>2.41</v>
      </c>
      <c r="F205" s="68">
        <v>3.8</v>
      </c>
      <c r="G205" s="68">
        <v>4.5</v>
      </c>
      <c r="H205" s="68">
        <v>61.8</v>
      </c>
      <c r="I205" s="68">
        <v>0</v>
      </c>
      <c r="J205" s="68">
        <v>3.71</v>
      </c>
      <c r="K205" s="68">
        <v>11</v>
      </c>
      <c r="L205" s="68">
        <v>0.32</v>
      </c>
    </row>
    <row r="206" spans="1:12" s="65" customFormat="1" ht="20.100000000000001" customHeight="1" x14ac:dyDescent="0.25">
      <c r="A206" s="65">
        <v>1</v>
      </c>
      <c r="B206" s="132" t="s">
        <v>106</v>
      </c>
      <c r="C206" s="64" t="s">
        <v>93</v>
      </c>
      <c r="D206" s="69" t="s">
        <v>206</v>
      </c>
      <c r="E206" s="38">
        <v>0.01</v>
      </c>
      <c r="F206" s="38">
        <v>0.01</v>
      </c>
      <c r="G206" s="38">
        <v>5.99</v>
      </c>
      <c r="H206" s="38">
        <v>23.94</v>
      </c>
      <c r="I206" s="38">
        <v>0.02</v>
      </c>
      <c r="J206" s="38">
        <v>9.91</v>
      </c>
      <c r="K206" s="38">
        <v>1.3</v>
      </c>
      <c r="L206" s="38">
        <v>0.27</v>
      </c>
    </row>
    <row r="207" spans="1:12" s="65" customFormat="1" ht="18" customHeight="1" x14ac:dyDescent="0.25">
      <c r="A207" s="65">
        <v>7</v>
      </c>
      <c r="B207" s="70"/>
      <c r="C207" s="70" t="s">
        <v>14</v>
      </c>
      <c r="D207" s="71">
        <v>436</v>
      </c>
      <c r="E207" s="70">
        <f t="shared" ref="E207:L207" si="52">SUM(E205:E206)</f>
        <v>2.42</v>
      </c>
      <c r="F207" s="70">
        <f t="shared" si="52"/>
        <v>3.8099999999999996</v>
      </c>
      <c r="G207" s="70">
        <f t="shared" si="52"/>
        <v>10.49</v>
      </c>
      <c r="H207" s="70">
        <f t="shared" si="52"/>
        <v>85.74</v>
      </c>
      <c r="I207" s="70">
        <f t="shared" si="52"/>
        <v>0.02</v>
      </c>
      <c r="J207" s="70">
        <f t="shared" si="52"/>
        <v>13.620000000000001</v>
      </c>
      <c r="K207" s="70">
        <f t="shared" si="52"/>
        <v>12.3</v>
      </c>
      <c r="L207" s="70">
        <f t="shared" si="52"/>
        <v>0.59000000000000008</v>
      </c>
    </row>
    <row r="208" spans="1:12" s="65" customFormat="1" ht="18" customHeight="1" x14ac:dyDescent="0.25">
      <c r="B208" s="139" t="s">
        <v>239</v>
      </c>
      <c r="C208" s="140"/>
      <c r="D208" s="140"/>
      <c r="E208" s="140"/>
      <c r="F208" s="140"/>
      <c r="G208" s="140"/>
      <c r="H208" s="140"/>
      <c r="I208" s="140"/>
      <c r="J208" s="140"/>
      <c r="K208" s="140"/>
      <c r="L208" s="141"/>
    </row>
    <row r="209" spans="1:12" s="65" customFormat="1" ht="18" customHeight="1" x14ac:dyDescent="0.25">
      <c r="B209" s="131" t="s">
        <v>107</v>
      </c>
      <c r="C209" s="64" t="s">
        <v>84</v>
      </c>
      <c r="D209" s="132">
        <v>200</v>
      </c>
      <c r="E209" s="68">
        <v>1</v>
      </c>
      <c r="F209" s="68">
        <v>0</v>
      </c>
      <c r="G209" s="68">
        <v>20.2</v>
      </c>
      <c r="H209" s="68">
        <v>85.3</v>
      </c>
      <c r="I209" s="68">
        <v>4</v>
      </c>
      <c r="J209" s="68">
        <v>14</v>
      </c>
      <c r="K209" s="68">
        <v>8</v>
      </c>
      <c r="L209" s="68">
        <v>2.8</v>
      </c>
    </row>
    <row r="210" spans="1:12" ht="18" customHeight="1" x14ac:dyDescent="0.25">
      <c r="B210" s="36"/>
      <c r="C210" s="113" t="s">
        <v>14</v>
      </c>
      <c r="D210" s="73">
        <f>D209</f>
        <v>200</v>
      </c>
      <c r="E210" s="92">
        <f>E209</f>
        <v>1</v>
      </c>
      <c r="F210" s="111">
        <f t="shared" ref="F210:L210" si="53">F209</f>
        <v>0</v>
      </c>
      <c r="G210" s="111">
        <f t="shared" si="53"/>
        <v>20.2</v>
      </c>
      <c r="H210" s="111">
        <f t="shared" si="53"/>
        <v>85.3</v>
      </c>
      <c r="I210" s="111">
        <f t="shared" si="53"/>
        <v>4</v>
      </c>
      <c r="J210" s="111">
        <f t="shared" si="53"/>
        <v>14</v>
      </c>
      <c r="K210" s="111">
        <f t="shared" si="53"/>
        <v>8</v>
      </c>
      <c r="L210" s="111">
        <f t="shared" si="53"/>
        <v>2.8</v>
      </c>
    </row>
    <row r="211" spans="1:12" ht="18" customHeight="1" x14ac:dyDescent="0.25">
      <c r="A211" s="35">
        <v>7</v>
      </c>
      <c r="B211" s="142" t="s">
        <v>240</v>
      </c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</row>
    <row r="212" spans="1:12" s="65" customFormat="1" ht="20.100000000000001" customHeight="1" x14ac:dyDescent="0.25">
      <c r="B212" s="132" t="s">
        <v>108</v>
      </c>
      <c r="C212" s="64" t="s">
        <v>109</v>
      </c>
      <c r="D212" s="132">
        <v>70</v>
      </c>
      <c r="E212" s="68">
        <v>0.8</v>
      </c>
      <c r="F212" s="68">
        <v>4.2</v>
      </c>
      <c r="G212" s="68">
        <v>7</v>
      </c>
      <c r="H212" s="68">
        <v>71</v>
      </c>
      <c r="I212" s="68">
        <v>2.4</v>
      </c>
      <c r="J212" s="68">
        <v>20.399999999999999</v>
      </c>
      <c r="K212" s="68">
        <v>11.3</v>
      </c>
      <c r="L212" s="68">
        <v>1</v>
      </c>
    </row>
    <row r="213" spans="1:12" ht="18" customHeight="1" x14ac:dyDescent="0.25">
      <c r="B213" s="56" t="s">
        <v>110</v>
      </c>
      <c r="C213" s="22" t="s">
        <v>187</v>
      </c>
      <c r="D213" s="57">
        <v>200</v>
      </c>
      <c r="E213" s="39">
        <v>2.23</v>
      </c>
      <c r="F213" s="39">
        <v>2.6</v>
      </c>
      <c r="G213" s="39">
        <v>13.1</v>
      </c>
      <c r="H213" s="39">
        <v>85</v>
      </c>
      <c r="I213" s="39">
        <v>6.6</v>
      </c>
      <c r="J213" s="39">
        <v>22.8</v>
      </c>
      <c r="K213" s="39">
        <v>27.2</v>
      </c>
      <c r="L213" s="39">
        <v>0.97</v>
      </c>
    </row>
    <row r="214" spans="1:12" ht="18" customHeight="1" x14ac:dyDescent="0.25">
      <c r="B214" s="56" t="s">
        <v>164</v>
      </c>
      <c r="C214" s="22" t="s">
        <v>188</v>
      </c>
      <c r="D214" s="57">
        <v>80</v>
      </c>
      <c r="E214" s="39">
        <v>14.4</v>
      </c>
      <c r="F214" s="39">
        <v>28</v>
      </c>
      <c r="G214" s="39">
        <v>0.78</v>
      </c>
      <c r="H214" s="39">
        <v>313.2</v>
      </c>
      <c r="I214" s="39">
        <v>0.38</v>
      </c>
      <c r="J214" s="39">
        <v>9.2200000000000006</v>
      </c>
      <c r="K214" s="39">
        <v>21.3</v>
      </c>
      <c r="L214" s="39">
        <v>1.65</v>
      </c>
    </row>
    <row r="215" spans="1:12" ht="18" customHeight="1" x14ac:dyDescent="0.25">
      <c r="B215" s="36" t="s">
        <v>236</v>
      </c>
      <c r="C215" s="22" t="s">
        <v>237</v>
      </c>
      <c r="D215" s="37">
        <v>130</v>
      </c>
      <c r="E215" s="68">
        <v>2.89</v>
      </c>
      <c r="F215" s="68">
        <v>5.24</v>
      </c>
      <c r="G215" s="68">
        <v>13</v>
      </c>
      <c r="H215" s="68">
        <v>103.9</v>
      </c>
      <c r="I215" s="68">
        <v>0</v>
      </c>
      <c r="J215" s="68">
        <v>4.5</v>
      </c>
      <c r="K215" s="68">
        <v>45</v>
      </c>
      <c r="L215" s="68">
        <v>1.5</v>
      </c>
    </row>
    <row r="216" spans="1:12" s="65" customFormat="1" ht="19.5" customHeight="1" x14ac:dyDescent="0.25">
      <c r="B216" s="47" t="s">
        <v>116</v>
      </c>
      <c r="C216" s="48" t="s">
        <v>83</v>
      </c>
      <c r="D216" s="49">
        <v>200</v>
      </c>
      <c r="E216" s="68">
        <v>0.44</v>
      </c>
      <c r="F216" s="68">
        <v>0.02</v>
      </c>
      <c r="G216" s="68">
        <v>21.1</v>
      </c>
      <c r="H216" s="68">
        <v>86.3</v>
      </c>
      <c r="I216" s="68">
        <v>0.4</v>
      </c>
      <c r="J216" s="68">
        <v>31.6</v>
      </c>
      <c r="K216" s="68">
        <v>6</v>
      </c>
      <c r="L216" s="68">
        <v>1.23</v>
      </c>
    </row>
    <row r="217" spans="1:12" ht="18" customHeight="1" x14ac:dyDescent="0.25">
      <c r="B217" s="72"/>
      <c r="C217" s="113" t="s">
        <v>14</v>
      </c>
      <c r="D217" s="37">
        <f t="shared" ref="D217:L217" si="54">SUM(D212:D216)</f>
        <v>680</v>
      </c>
      <c r="E217" s="92">
        <f t="shared" si="54"/>
        <v>20.76</v>
      </c>
      <c r="F217" s="111">
        <f t="shared" si="54"/>
        <v>40.06</v>
      </c>
      <c r="G217" s="111">
        <f t="shared" si="54"/>
        <v>54.980000000000004</v>
      </c>
      <c r="H217" s="111">
        <f t="shared" si="54"/>
        <v>659.4</v>
      </c>
      <c r="I217" s="111">
        <f t="shared" si="54"/>
        <v>9.7800000000000011</v>
      </c>
      <c r="J217" s="111">
        <f t="shared" si="54"/>
        <v>88.52000000000001</v>
      </c>
      <c r="K217" s="111">
        <f t="shared" si="54"/>
        <v>110.8</v>
      </c>
      <c r="L217" s="111">
        <f t="shared" si="54"/>
        <v>6.35</v>
      </c>
    </row>
    <row r="218" spans="1:12" ht="18" customHeight="1" x14ac:dyDescent="0.25">
      <c r="A218" s="35">
        <v>7</v>
      </c>
      <c r="B218" s="142" t="s">
        <v>241</v>
      </c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</row>
    <row r="219" spans="1:12" s="65" customFormat="1" ht="18" customHeight="1" x14ac:dyDescent="0.25">
      <c r="B219" s="131" t="s">
        <v>132</v>
      </c>
      <c r="C219" s="64" t="s">
        <v>133</v>
      </c>
      <c r="D219" s="69">
        <v>80</v>
      </c>
      <c r="E219" s="87">
        <v>0.32</v>
      </c>
      <c r="F219" s="87">
        <v>0.32</v>
      </c>
      <c r="G219" s="87">
        <v>24.8</v>
      </c>
      <c r="H219" s="44">
        <v>104</v>
      </c>
      <c r="I219" s="87">
        <v>3.3</v>
      </c>
      <c r="J219" s="87">
        <v>13.1</v>
      </c>
      <c r="K219" s="87">
        <v>7</v>
      </c>
      <c r="L219" s="87">
        <v>1.7</v>
      </c>
    </row>
    <row r="220" spans="1:12" s="65" customFormat="1" ht="18" customHeight="1" x14ac:dyDescent="0.25">
      <c r="B220" s="85"/>
      <c r="C220" s="113" t="s">
        <v>14</v>
      </c>
      <c r="D220" s="69">
        <f t="shared" ref="D220:L220" si="55">SUM(D219)</f>
        <v>80</v>
      </c>
      <c r="E220" s="92">
        <f t="shared" si="55"/>
        <v>0.32</v>
      </c>
      <c r="F220" s="111">
        <f t="shared" si="55"/>
        <v>0.32</v>
      </c>
      <c r="G220" s="111">
        <f t="shared" si="55"/>
        <v>24.8</v>
      </c>
      <c r="H220" s="111">
        <f t="shared" si="55"/>
        <v>104</v>
      </c>
      <c r="I220" s="111">
        <f t="shared" si="55"/>
        <v>3.3</v>
      </c>
      <c r="J220" s="111">
        <f t="shared" si="55"/>
        <v>13.1</v>
      </c>
      <c r="K220" s="111">
        <f t="shared" si="55"/>
        <v>7</v>
      </c>
      <c r="L220" s="111">
        <f t="shared" si="55"/>
        <v>1.7</v>
      </c>
    </row>
    <row r="221" spans="1:12" s="65" customFormat="1" ht="18" customHeight="1" x14ac:dyDescent="0.25">
      <c r="B221" s="139" t="s">
        <v>242</v>
      </c>
      <c r="C221" s="140"/>
      <c r="D221" s="140"/>
      <c r="E221" s="140"/>
      <c r="F221" s="140"/>
      <c r="G221" s="140"/>
      <c r="H221" s="140"/>
      <c r="I221" s="140"/>
      <c r="J221" s="140"/>
      <c r="K221" s="140"/>
      <c r="L221" s="141"/>
    </row>
    <row r="222" spans="1:12" s="65" customFormat="1" ht="18" customHeight="1" x14ac:dyDescent="0.25">
      <c r="B222" s="72" t="s">
        <v>189</v>
      </c>
      <c r="C222" s="64" t="s">
        <v>190</v>
      </c>
      <c r="D222" s="69">
        <v>70</v>
      </c>
      <c r="E222" s="68">
        <v>0.7</v>
      </c>
      <c r="F222" s="68">
        <v>4.2</v>
      </c>
      <c r="G222" s="68">
        <v>6.5</v>
      </c>
      <c r="H222" s="68">
        <v>69.2</v>
      </c>
      <c r="I222" s="68">
        <v>2</v>
      </c>
      <c r="J222" s="68">
        <v>15.6</v>
      </c>
      <c r="K222" s="68">
        <v>20.3</v>
      </c>
      <c r="L222" s="68">
        <v>0.6</v>
      </c>
    </row>
    <row r="223" spans="1:12" s="65" customFormat="1" ht="18" customHeight="1" x14ac:dyDescent="0.25">
      <c r="B223" s="85" t="s">
        <v>136</v>
      </c>
      <c r="C223" s="64" t="s">
        <v>191</v>
      </c>
      <c r="D223" s="69">
        <v>160</v>
      </c>
      <c r="E223" s="68">
        <v>7.56</v>
      </c>
      <c r="F223" s="68">
        <v>10.6</v>
      </c>
      <c r="G223" s="68">
        <v>12.5</v>
      </c>
      <c r="H223" s="68">
        <v>176.2</v>
      </c>
      <c r="I223" s="68">
        <v>3.89</v>
      </c>
      <c r="J223" s="68">
        <v>12.1</v>
      </c>
      <c r="K223" s="68">
        <v>25.6</v>
      </c>
      <c r="L223" s="68">
        <v>1.2</v>
      </c>
    </row>
    <row r="224" spans="1:12" s="65" customFormat="1" ht="18" customHeight="1" x14ac:dyDescent="0.25">
      <c r="B224" s="131" t="s">
        <v>138</v>
      </c>
      <c r="C224" s="45" t="s">
        <v>139</v>
      </c>
      <c r="D224" s="46">
        <v>180</v>
      </c>
      <c r="E224" s="44">
        <v>0.5</v>
      </c>
      <c r="F224" s="44">
        <v>0.12</v>
      </c>
      <c r="G224" s="44">
        <v>13.3</v>
      </c>
      <c r="H224" s="44">
        <v>55</v>
      </c>
      <c r="I224" s="44">
        <v>0.7</v>
      </c>
      <c r="J224" s="44">
        <v>6.2</v>
      </c>
      <c r="K224" s="44">
        <v>3.42</v>
      </c>
      <c r="L224" s="44">
        <v>1.2</v>
      </c>
    </row>
    <row r="225" spans="1:12" s="65" customFormat="1" ht="18" customHeight="1" x14ac:dyDescent="0.25">
      <c r="A225" s="65">
        <v>3</v>
      </c>
      <c r="B225" s="69" t="s">
        <v>254</v>
      </c>
      <c r="C225" s="64" t="s">
        <v>256</v>
      </c>
      <c r="D225" s="133">
        <v>120</v>
      </c>
      <c r="E225" s="68">
        <v>0.48</v>
      </c>
      <c r="F225" s="68">
        <v>0.48</v>
      </c>
      <c r="G225" s="68">
        <v>11.76</v>
      </c>
      <c r="H225" s="68">
        <v>56</v>
      </c>
      <c r="I225" s="68">
        <v>12</v>
      </c>
      <c r="J225" s="68">
        <v>19.2</v>
      </c>
      <c r="K225" s="68">
        <v>10.8</v>
      </c>
      <c r="L225" s="68">
        <v>2.64</v>
      </c>
    </row>
    <row r="226" spans="1:12" ht="18" customHeight="1" x14ac:dyDescent="0.25">
      <c r="A226" s="35">
        <v>7</v>
      </c>
      <c r="B226" s="36"/>
      <c r="C226" s="113" t="s">
        <v>14</v>
      </c>
      <c r="D226" s="37">
        <f t="shared" ref="D226:L226" si="56">SUM(D222:D225)</f>
        <v>530</v>
      </c>
      <c r="E226" s="36">
        <f t="shared" si="56"/>
        <v>9.24</v>
      </c>
      <c r="F226" s="126">
        <f t="shared" si="56"/>
        <v>15.4</v>
      </c>
      <c r="G226" s="126">
        <f t="shared" si="56"/>
        <v>44.059999999999995</v>
      </c>
      <c r="H226" s="126">
        <f t="shared" si="56"/>
        <v>356.4</v>
      </c>
      <c r="I226" s="126">
        <f t="shared" si="56"/>
        <v>18.59</v>
      </c>
      <c r="J226" s="126">
        <f t="shared" si="56"/>
        <v>53.099999999999994</v>
      </c>
      <c r="K226" s="126">
        <f t="shared" si="56"/>
        <v>60.120000000000005</v>
      </c>
      <c r="L226" s="126">
        <f t="shared" si="56"/>
        <v>5.6400000000000006</v>
      </c>
    </row>
    <row r="227" spans="1:12" ht="18" customHeight="1" x14ac:dyDescent="0.25">
      <c r="A227" s="35">
        <v>7</v>
      </c>
      <c r="B227" s="36"/>
      <c r="C227" s="72" t="s">
        <v>22</v>
      </c>
      <c r="D227" s="37">
        <f>D207+D210+D217+D220+D226</f>
        <v>1926</v>
      </c>
      <c r="E227" s="36">
        <f t="shared" ref="E227:L227" si="57">E207+E210+E217+E226</f>
        <v>33.42</v>
      </c>
      <c r="F227" s="72">
        <f t="shared" si="57"/>
        <v>59.27</v>
      </c>
      <c r="G227" s="72">
        <f t="shared" si="57"/>
        <v>129.72999999999999</v>
      </c>
      <c r="H227" s="72">
        <f>H207+H210+H217+H226+H220</f>
        <v>1290.8399999999999</v>
      </c>
      <c r="I227" s="72">
        <f t="shared" si="57"/>
        <v>32.39</v>
      </c>
      <c r="J227" s="72">
        <f t="shared" si="57"/>
        <v>169.24</v>
      </c>
      <c r="K227" s="72">
        <f t="shared" si="57"/>
        <v>191.22</v>
      </c>
      <c r="L227" s="72">
        <f t="shared" si="57"/>
        <v>15.379999999999999</v>
      </c>
    </row>
    <row r="228" spans="1:12" s="65" customFormat="1" ht="20.100000000000001" customHeight="1" x14ac:dyDescent="0.25">
      <c r="B228" s="122"/>
      <c r="C228" s="122" t="s">
        <v>91</v>
      </c>
      <c r="D228" s="123"/>
      <c r="E228" s="122">
        <v>54</v>
      </c>
      <c r="F228" s="122">
        <v>60</v>
      </c>
      <c r="G228" s="122">
        <v>261</v>
      </c>
      <c r="H228" s="122">
        <v>1800</v>
      </c>
      <c r="I228" s="122">
        <v>50</v>
      </c>
      <c r="J228" s="122">
        <v>900</v>
      </c>
      <c r="K228" s="122">
        <v>200</v>
      </c>
      <c r="L228" s="122">
        <v>10</v>
      </c>
    </row>
    <row r="229" spans="1:12" s="65" customFormat="1" ht="20.100000000000001" customHeight="1" x14ac:dyDescent="0.25">
      <c r="B229" s="124"/>
      <c r="C229" s="124" t="s">
        <v>92</v>
      </c>
      <c r="D229" s="125"/>
      <c r="E229" s="124">
        <f>ROUND(E227/E228*100-100,2)</f>
        <v>-38.11</v>
      </c>
      <c r="F229" s="124">
        <f t="shared" ref="F229:L229" si="58">ROUND(F227/F228*100-100,2)</f>
        <v>-1.22</v>
      </c>
      <c r="G229" s="124">
        <f t="shared" si="58"/>
        <v>-50.3</v>
      </c>
      <c r="H229" s="124">
        <f t="shared" si="58"/>
        <v>-28.29</v>
      </c>
      <c r="I229" s="124">
        <f t="shared" si="58"/>
        <v>-35.22</v>
      </c>
      <c r="J229" s="124">
        <f t="shared" si="58"/>
        <v>-81.2</v>
      </c>
      <c r="K229" s="124">
        <f t="shared" si="58"/>
        <v>-4.3899999999999997</v>
      </c>
      <c r="L229" s="124">
        <f t="shared" si="58"/>
        <v>53.8</v>
      </c>
    </row>
    <row r="230" spans="1:12" s="30" customFormat="1" ht="20.100000000000001" customHeight="1" x14ac:dyDescent="0.25">
      <c r="B230" s="31" t="s">
        <v>72</v>
      </c>
      <c r="C230" s="32"/>
      <c r="D230" s="41"/>
      <c r="E230" s="42"/>
      <c r="F230" s="42"/>
      <c r="G230" s="42"/>
      <c r="H230" s="42"/>
      <c r="I230" s="42"/>
      <c r="J230" s="42"/>
      <c r="K230" s="42"/>
      <c r="L230" s="42"/>
    </row>
    <row r="231" spans="1:12" s="30" customFormat="1" ht="20.100000000000001" customHeight="1" x14ac:dyDescent="0.25">
      <c r="B231" s="31" t="s">
        <v>70</v>
      </c>
      <c r="C231" s="32"/>
      <c r="D231" s="41"/>
      <c r="E231" s="42"/>
      <c r="F231" s="42"/>
      <c r="G231" s="42"/>
      <c r="H231" s="42"/>
      <c r="I231" s="42"/>
      <c r="J231" s="42"/>
      <c r="K231" s="42"/>
      <c r="L231" s="42"/>
    </row>
    <row r="232" spans="1:12" s="30" customFormat="1" x14ac:dyDescent="0.25">
      <c r="B232" s="31" t="s">
        <v>204</v>
      </c>
      <c r="C232" s="32"/>
      <c r="D232" s="33"/>
      <c r="E232" s="34"/>
      <c r="F232" s="34"/>
      <c r="G232" s="34"/>
      <c r="H232" s="34"/>
      <c r="I232" s="34"/>
      <c r="J232" s="34"/>
      <c r="K232" s="34"/>
      <c r="L232" s="34"/>
    </row>
    <row r="233" spans="1:12" s="30" customFormat="1" ht="17.45" customHeight="1" x14ac:dyDescent="0.25">
      <c r="B233" s="40"/>
      <c r="C233" s="40"/>
      <c r="D233" s="41"/>
      <c r="E233" s="42"/>
      <c r="F233" s="42"/>
      <c r="G233" s="42"/>
      <c r="H233" s="42"/>
      <c r="I233" s="42"/>
      <c r="J233" s="42"/>
      <c r="K233" s="42"/>
      <c r="L233" s="42"/>
    </row>
    <row r="234" spans="1:12" s="30" customFormat="1" ht="36" customHeight="1" x14ac:dyDescent="0.25">
      <c r="B234" s="143" t="s">
        <v>0</v>
      </c>
      <c r="C234" s="143" t="s">
        <v>1</v>
      </c>
      <c r="D234" s="144" t="s">
        <v>2</v>
      </c>
      <c r="E234" s="142" t="s">
        <v>3</v>
      </c>
      <c r="F234" s="142"/>
      <c r="G234" s="142"/>
      <c r="H234" s="142" t="s">
        <v>4</v>
      </c>
      <c r="I234" s="101"/>
      <c r="J234" s="142" t="s">
        <v>5</v>
      </c>
      <c r="K234" s="142"/>
      <c r="L234" s="142"/>
    </row>
    <row r="235" spans="1:12" s="30" customFormat="1" ht="38.25" customHeight="1" x14ac:dyDescent="0.25">
      <c r="B235" s="143"/>
      <c r="C235" s="143"/>
      <c r="D235" s="144"/>
      <c r="E235" s="36" t="s">
        <v>6</v>
      </c>
      <c r="F235" s="36" t="s">
        <v>7</v>
      </c>
      <c r="G235" s="36" t="s">
        <v>8</v>
      </c>
      <c r="H235" s="142"/>
      <c r="I235" s="36" t="s">
        <v>9</v>
      </c>
      <c r="J235" s="36" t="s">
        <v>10</v>
      </c>
      <c r="K235" s="36" t="s">
        <v>11</v>
      </c>
      <c r="L235" s="36" t="s">
        <v>12</v>
      </c>
    </row>
    <row r="236" spans="1:12" ht="18" customHeight="1" x14ac:dyDescent="0.25">
      <c r="A236" s="35">
        <v>8</v>
      </c>
      <c r="B236" s="142" t="s">
        <v>153</v>
      </c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</row>
    <row r="237" spans="1:12" s="65" customFormat="1" ht="18" customHeight="1" x14ac:dyDescent="0.25">
      <c r="A237" s="65">
        <v>1</v>
      </c>
      <c r="B237" s="132" t="s">
        <v>104</v>
      </c>
      <c r="C237" s="64" t="s">
        <v>105</v>
      </c>
      <c r="D237" s="130" t="s">
        <v>205</v>
      </c>
      <c r="E237" s="38">
        <v>6.37</v>
      </c>
      <c r="F237" s="38">
        <v>10.4</v>
      </c>
      <c r="G237" s="38">
        <v>12.2</v>
      </c>
      <c r="H237" s="38">
        <v>168.4</v>
      </c>
      <c r="I237" s="38">
        <v>0.21</v>
      </c>
      <c r="J237" s="38">
        <v>14.8</v>
      </c>
      <c r="K237" s="38">
        <v>31.8</v>
      </c>
      <c r="L237" s="38">
        <v>1.23</v>
      </c>
    </row>
    <row r="238" spans="1:12" s="65" customFormat="1" ht="20.100000000000001" customHeight="1" x14ac:dyDescent="0.25">
      <c r="A238" s="65">
        <v>1</v>
      </c>
      <c r="B238" s="132" t="s">
        <v>106</v>
      </c>
      <c r="C238" s="64" t="s">
        <v>93</v>
      </c>
      <c r="D238" s="69" t="s">
        <v>206</v>
      </c>
      <c r="E238" s="38">
        <v>0.01</v>
      </c>
      <c r="F238" s="38">
        <v>0.01</v>
      </c>
      <c r="G238" s="38">
        <v>5.99</v>
      </c>
      <c r="H238" s="38">
        <v>23.94</v>
      </c>
      <c r="I238" s="38">
        <v>0.02</v>
      </c>
      <c r="J238" s="38">
        <v>9.91</v>
      </c>
      <c r="K238" s="38">
        <v>1.3</v>
      </c>
      <c r="L238" s="38">
        <v>0.27</v>
      </c>
    </row>
    <row r="239" spans="1:12" ht="18" customHeight="1" x14ac:dyDescent="0.25">
      <c r="A239" s="35">
        <v>8</v>
      </c>
      <c r="B239" s="36"/>
      <c r="C239" s="113" t="s">
        <v>14</v>
      </c>
      <c r="D239" s="37">
        <v>396</v>
      </c>
      <c r="E239" s="51">
        <f t="shared" ref="E239:L239" si="59">SUM(E237:E238)</f>
        <v>6.38</v>
      </c>
      <c r="F239" s="51">
        <f t="shared" si="59"/>
        <v>10.41</v>
      </c>
      <c r="G239" s="51">
        <f t="shared" si="59"/>
        <v>18.189999999999998</v>
      </c>
      <c r="H239" s="51">
        <f t="shared" si="59"/>
        <v>192.34</v>
      </c>
      <c r="I239" s="51">
        <f t="shared" si="59"/>
        <v>0.22999999999999998</v>
      </c>
      <c r="J239" s="51">
        <f t="shared" si="59"/>
        <v>24.71</v>
      </c>
      <c r="K239" s="51">
        <f t="shared" si="59"/>
        <v>33.1</v>
      </c>
      <c r="L239" s="51">
        <f t="shared" si="59"/>
        <v>1.5</v>
      </c>
    </row>
    <row r="240" spans="1:12" s="65" customFormat="1" ht="18" customHeight="1" x14ac:dyDescent="0.25">
      <c r="B240" s="139" t="s">
        <v>244</v>
      </c>
      <c r="C240" s="140"/>
      <c r="D240" s="140"/>
      <c r="E240" s="140"/>
      <c r="F240" s="140"/>
      <c r="G240" s="140"/>
      <c r="H240" s="140"/>
      <c r="I240" s="140"/>
      <c r="J240" s="140"/>
      <c r="K240" s="140"/>
      <c r="L240" s="141"/>
    </row>
    <row r="241" spans="1:12" s="65" customFormat="1" ht="18" customHeight="1" x14ac:dyDescent="0.25">
      <c r="B241" s="131" t="s">
        <v>107</v>
      </c>
      <c r="C241" s="64" t="s">
        <v>84</v>
      </c>
      <c r="D241" s="132">
        <v>200</v>
      </c>
      <c r="E241" s="68">
        <v>1</v>
      </c>
      <c r="F241" s="68">
        <v>0</v>
      </c>
      <c r="G241" s="68">
        <v>20.2</v>
      </c>
      <c r="H241" s="68">
        <v>85.3</v>
      </c>
      <c r="I241" s="68">
        <v>4</v>
      </c>
      <c r="J241" s="68">
        <v>14</v>
      </c>
      <c r="K241" s="68">
        <v>8</v>
      </c>
      <c r="L241" s="68">
        <v>2.8</v>
      </c>
    </row>
    <row r="242" spans="1:12" s="65" customFormat="1" ht="18" customHeight="1" x14ac:dyDescent="0.25">
      <c r="B242" s="74"/>
      <c r="C242" s="113" t="s">
        <v>14</v>
      </c>
      <c r="D242" s="75">
        <f>D241</f>
        <v>200</v>
      </c>
      <c r="E242" s="51">
        <f>E241</f>
        <v>1</v>
      </c>
      <c r="F242" s="51">
        <f t="shared" ref="F242:L242" si="60">F241</f>
        <v>0</v>
      </c>
      <c r="G242" s="51">
        <f t="shared" si="60"/>
        <v>20.2</v>
      </c>
      <c r="H242" s="51">
        <f t="shared" si="60"/>
        <v>85.3</v>
      </c>
      <c r="I242" s="51">
        <f t="shared" si="60"/>
        <v>4</v>
      </c>
      <c r="J242" s="51">
        <f t="shared" si="60"/>
        <v>14</v>
      </c>
      <c r="K242" s="51">
        <f t="shared" si="60"/>
        <v>8</v>
      </c>
      <c r="L242" s="51">
        <f t="shared" si="60"/>
        <v>2.8</v>
      </c>
    </row>
    <row r="243" spans="1:12" ht="18" customHeight="1" x14ac:dyDescent="0.25">
      <c r="A243" s="35">
        <v>8</v>
      </c>
      <c r="B243" s="142" t="s">
        <v>225</v>
      </c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</row>
    <row r="244" spans="1:12" s="65" customFormat="1" ht="18.75" customHeight="1" x14ac:dyDescent="0.25">
      <c r="B244" s="131" t="s">
        <v>134</v>
      </c>
      <c r="C244" s="94" t="s">
        <v>135</v>
      </c>
      <c r="D244" s="69">
        <v>50</v>
      </c>
      <c r="E244" s="44">
        <v>1.1000000000000001</v>
      </c>
      <c r="F244" s="44">
        <v>2.2999999999999998</v>
      </c>
      <c r="G244" s="44">
        <v>5.44</v>
      </c>
      <c r="H244" s="44">
        <v>46.85</v>
      </c>
      <c r="I244" s="44">
        <v>2.56</v>
      </c>
      <c r="J244" s="44">
        <v>15.32</v>
      </c>
      <c r="K244" s="44">
        <v>20.64</v>
      </c>
      <c r="L244" s="44">
        <v>0.61</v>
      </c>
    </row>
    <row r="245" spans="1:12" s="65" customFormat="1" ht="18" customHeight="1" x14ac:dyDescent="0.25">
      <c r="B245" s="69" t="s">
        <v>141</v>
      </c>
      <c r="C245" s="64" t="s">
        <v>172</v>
      </c>
      <c r="D245" s="132">
        <v>200</v>
      </c>
      <c r="E245" s="68">
        <v>1.45</v>
      </c>
      <c r="F245" s="68">
        <v>3.93</v>
      </c>
      <c r="G245" s="68">
        <v>10.19</v>
      </c>
      <c r="H245" s="68">
        <v>82</v>
      </c>
      <c r="I245" s="68">
        <v>8.1999999999999993</v>
      </c>
      <c r="J245" s="68">
        <v>35.5</v>
      </c>
      <c r="K245" s="68">
        <v>21</v>
      </c>
      <c r="L245" s="68">
        <v>0.95</v>
      </c>
    </row>
    <row r="246" spans="1:12" ht="18" customHeight="1" x14ac:dyDescent="0.25">
      <c r="A246" s="35">
        <v>8</v>
      </c>
      <c r="B246" s="128" t="s">
        <v>142</v>
      </c>
      <c r="C246" s="64" t="s">
        <v>143</v>
      </c>
      <c r="D246" s="69">
        <v>80</v>
      </c>
      <c r="E246" s="68">
        <v>14.1</v>
      </c>
      <c r="F246" s="68">
        <v>9.8000000000000007</v>
      </c>
      <c r="G246" s="68">
        <v>1.4</v>
      </c>
      <c r="H246" s="68">
        <v>151.19999999999999</v>
      </c>
      <c r="I246" s="68">
        <v>1.1000000000000001</v>
      </c>
      <c r="J246" s="68">
        <v>15.3</v>
      </c>
      <c r="K246" s="68">
        <v>14.2</v>
      </c>
      <c r="L246" s="68">
        <v>0.9</v>
      </c>
    </row>
    <row r="247" spans="1:12" ht="18" customHeight="1" x14ac:dyDescent="0.25">
      <c r="A247" s="35">
        <v>8</v>
      </c>
      <c r="B247" s="74" t="s">
        <v>236</v>
      </c>
      <c r="C247" s="22" t="s">
        <v>243</v>
      </c>
      <c r="D247" s="37">
        <v>130</v>
      </c>
      <c r="E247" s="68">
        <v>1.52</v>
      </c>
      <c r="F247" s="68">
        <v>3.52</v>
      </c>
      <c r="G247" s="68">
        <v>12.6</v>
      </c>
      <c r="H247" s="68">
        <v>88.2</v>
      </c>
      <c r="I247" s="68">
        <v>0</v>
      </c>
      <c r="J247" s="68">
        <v>8.1999999999999993</v>
      </c>
      <c r="K247" s="68">
        <v>23.5</v>
      </c>
      <c r="L247" s="68">
        <v>0.39</v>
      </c>
    </row>
    <row r="248" spans="1:12" s="65" customFormat="1" ht="17.45" customHeight="1" x14ac:dyDescent="0.25">
      <c r="B248" s="131" t="s">
        <v>87</v>
      </c>
      <c r="C248" s="64" t="s">
        <v>123</v>
      </c>
      <c r="D248" s="69">
        <v>200</v>
      </c>
      <c r="E248" s="68">
        <v>0.2</v>
      </c>
      <c r="F248" s="68">
        <v>0.1</v>
      </c>
      <c r="G248" s="68">
        <v>12.21</v>
      </c>
      <c r="H248" s="68">
        <v>49</v>
      </c>
      <c r="I248" s="68">
        <v>1.6</v>
      </c>
      <c r="J248" s="68">
        <v>5.88</v>
      </c>
      <c r="K248" s="68">
        <v>3.13</v>
      </c>
      <c r="L248" s="68">
        <v>0.79</v>
      </c>
    </row>
    <row r="249" spans="1:12" ht="18" customHeight="1" x14ac:dyDescent="0.25">
      <c r="A249" s="35">
        <v>8</v>
      </c>
      <c r="B249" s="36"/>
      <c r="C249" s="36" t="s">
        <v>14</v>
      </c>
      <c r="D249" s="75">
        <f t="shared" ref="D249:L249" si="61">SUM(D244:D248)</f>
        <v>660</v>
      </c>
      <c r="E249" s="36">
        <f t="shared" si="61"/>
        <v>18.369999999999997</v>
      </c>
      <c r="F249" s="100">
        <f t="shared" si="61"/>
        <v>19.650000000000002</v>
      </c>
      <c r="G249" s="100">
        <f t="shared" si="61"/>
        <v>41.839999999999996</v>
      </c>
      <c r="H249" s="100">
        <f t="shared" si="61"/>
        <v>417.24999999999994</v>
      </c>
      <c r="I249" s="100">
        <f t="shared" si="61"/>
        <v>13.459999999999999</v>
      </c>
      <c r="J249" s="100">
        <f t="shared" si="61"/>
        <v>80.2</v>
      </c>
      <c r="K249" s="100">
        <f t="shared" si="61"/>
        <v>82.47</v>
      </c>
      <c r="L249" s="100">
        <f t="shared" si="61"/>
        <v>3.64</v>
      </c>
    </row>
    <row r="250" spans="1:12" ht="18" customHeight="1" x14ac:dyDescent="0.25">
      <c r="A250" s="35">
        <v>8</v>
      </c>
      <c r="B250" s="142" t="s">
        <v>245</v>
      </c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</row>
    <row r="251" spans="1:12" s="65" customFormat="1" ht="20.100000000000001" customHeight="1" x14ac:dyDescent="0.25">
      <c r="B251" s="132" t="s">
        <v>117</v>
      </c>
      <c r="C251" s="64" t="s">
        <v>118</v>
      </c>
      <c r="D251" s="69">
        <v>75</v>
      </c>
      <c r="E251" s="68">
        <v>0.51</v>
      </c>
      <c r="F251" s="68">
        <v>0.37</v>
      </c>
      <c r="G251" s="68">
        <v>13.1</v>
      </c>
      <c r="H251" s="68">
        <v>58.4</v>
      </c>
      <c r="I251" s="68">
        <v>3.4</v>
      </c>
      <c r="J251" s="68">
        <v>16.3</v>
      </c>
      <c r="K251" s="68">
        <v>11.1</v>
      </c>
      <c r="L251" s="68">
        <v>1.95</v>
      </c>
    </row>
    <row r="252" spans="1:12" s="65" customFormat="1" ht="18" customHeight="1" x14ac:dyDescent="0.25">
      <c r="B252" s="85"/>
      <c r="C252" s="113" t="s">
        <v>14</v>
      </c>
      <c r="D252" s="69">
        <f t="shared" ref="D252:L252" si="62">SUM(D251)</f>
        <v>75</v>
      </c>
      <c r="E252" s="85">
        <f t="shared" si="62"/>
        <v>0.51</v>
      </c>
      <c r="F252" s="85">
        <f t="shared" si="62"/>
        <v>0.37</v>
      </c>
      <c r="G252" s="85">
        <f t="shared" si="62"/>
        <v>13.1</v>
      </c>
      <c r="H252" s="85">
        <f t="shared" si="62"/>
        <v>58.4</v>
      </c>
      <c r="I252" s="85">
        <f t="shared" si="62"/>
        <v>3.4</v>
      </c>
      <c r="J252" s="85">
        <f t="shared" si="62"/>
        <v>16.3</v>
      </c>
      <c r="K252" s="85">
        <f t="shared" si="62"/>
        <v>11.1</v>
      </c>
      <c r="L252" s="85">
        <f t="shared" si="62"/>
        <v>1.95</v>
      </c>
    </row>
    <row r="253" spans="1:12" s="65" customFormat="1" ht="18" customHeight="1" x14ac:dyDescent="0.25">
      <c r="B253" s="139" t="s">
        <v>246</v>
      </c>
      <c r="C253" s="140"/>
      <c r="D253" s="140"/>
      <c r="E253" s="140"/>
      <c r="F253" s="140"/>
      <c r="G253" s="140"/>
      <c r="H253" s="140"/>
      <c r="I253" s="140"/>
      <c r="J253" s="140"/>
      <c r="K253" s="140"/>
      <c r="L253" s="141"/>
    </row>
    <row r="254" spans="1:12" s="65" customFormat="1" ht="20.45" customHeight="1" x14ac:dyDescent="0.25">
      <c r="A254" s="65">
        <v>3</v>
      </c>
      <c r="B254" s="69" t="s">
        <v>147</v>
      </c>
      <c r="C254" s="64" t="s">
        <v>148</v>
      </c>
      <c r="D254" s="69">
        <v>50</v>
      </c>
      <c r="E254" s="68">
        <v>0.7</v>
      </c>
      <c r="F254" s="68">
        <v>2.54</v>
      </c>
      <c r="G254" s="68">
        <v>4.51</v>
      </c>
      <c r="H254" s="68">
        <v>43.7</v>
      </c>
      <c r="I254" s="68">
        <v>16.23</v>
      </c>
      <c r="J254" s="68">
        <v>18.690000000000001</v>
      </c>
      <c r="K254" s="68">
        <v>7.58</v>
      </c>
      <c r="L254" s="68">
        <v>0.26</v>
      </c>
    </row>
    <row r="255" spans="1:12" s="65" customFormat="1" ht="18" customHeight="1" x14ac:dyDescent="0.25">
      <c r="B255" s="128" t="s">
        <v>194</v>
      </c>
      <c r="C255" s="64" t="s">
        <v>195</v>
      </c>
      <c r="D255" s="69">
        <v>50</v>
      </c>
      <c r="E255" s="68">
        <v>0.5</v>
      </c>
      <c r="F255" s="68">
        <v>3</v>
      </c>
      <c r="G255" s="68">
        <v>1.8</v>
      </c>
      <c r="H255" s="68">
        <v>38</v>
      </c>
      <c r="I255" s="68">
        <v>11.5</v>
      </c>
      <c r="J255" s="68">
        <v>7.4</v>
      </c>
      <c r="K255" s="68">
        <v>9.1999999999999993</v>
      </c>
      <c r="L255" s="68">
        <v>0.4</v>
      </c>
    </row>
    <row r="256" spans="1:12" s="65" customFormat="1" ht="18" customHeight="1" x14ac:dyDescent="0.25">
      <c r="B256" s="128"/>
      <c r="C256" s="116" t="s">
        <v>39</v>
      </c>
      <c r="D256" s="97"/>
      <c r="E256" s="115">
        <f>SUM(E253:E255)/2</f>
        <v>0.6</v>
      </c>
      <c r="F256" s="115">
        <f t="shared" ref="F256:L256" si="63">SUM(F253:F255)/2</f>
        <v>2.77</v>
      </c>
      <c r="G256" s="115">
        <f t="shared" si="63"/>
        <v>3.1549999999999998</v>
      </c>
      <c r="H256" s="115">
        <f t="shared" si="63"/>
        <v>40.85</v>
      </c>
      <c r="I256" s="115">
        <f t="shared" si="63"/>
        <v>13.865</v>
      </c>
      <c r="J256" s="115">
        <f t="shared" si="63"/>
        <v>13.045000000000002</v>
      </c>
      <c r="K256" s="115">
        <f t="shared" si="63"/>
        <v>8.39</v>
      </c>
      <c r="L256" s="115">
        <f t="shared" si="63"/>
        <v>0.33</v>
      </c>
    </row>
    <row r="257" spans="1:12" s="65" customFormat="1" ht="18" customHeight="1" x14ac:dyDescent="0.25">
      <c r="B257" s="74" t="s">
        <v>192</v>
      </c>
      <c r="C257" s="64" t="s">
        <v>193</v>
      </c>
      <c r="D257" s="69">
        <v>80</v>
      </c>
      <c r="E257" s="68">
        <v>11.61</v>
      </c>
      <c r="F257" s="68">
        <v>8.8800000000000008</v>
      </c>
      <c r="G257" s="68">
        <v>6.88</v>
      </c>
      <c r="H257" s="68">
        <v>154</v>
      </c>
      <c r="I257" s="68">
        <v>0.35</v>
      </c>
      <c r="J257" s="68">
        <v>12.6</v>
      </c>
      <c r="K257" s="68">
        <v>13.6</v>
      </c>
      <c r="L257" s="68">
        <v>0.84</v>
      </c>
    </row>
    <row r="258" spans="1:12" s="65" customFormat="1" ht="18" customHeight="1" x14ac:dyDescent="0.25">
      <c r="B258" s="131" t="s">
        <v>144</v>
      </c>
      <c r="C258" s="64" t="s">
        <v>145</v>
      </c>
      <c r="D258" s="132">
        <v>120</v>
      </c>
      <c r="E258" s="68">
        <v>2.1</v>
      </c>
      <c r="F258" s="68">
        <v>3.3</v>
      </c>
      <c r="G258" s="68">
        <v>15.7</v>
      </c>
      <c r="H258" s="68">
        <v>105</v>
      </c>
      <c r="I258" s="68">
        <v>4.3</v>
      </c>
      <c r="J258" s="68">
        <v>10.7</v>
      </c>
      <c r="K258" s="68">
        <v>23.4</v>
      </c>
      <c r="L258" s="68">
        <v>0.9</v>
      </c>
    </row>
    <row r="259" spans="1:12" s="65" customFormat="1" ht="19.5" customHeight="1" x14ac:dyDescent="0.25">
      <c r="B259" s="47" t="s">
        <v>116</v>
      </c>
      <c r="C259" s="48" t="s">
        <v>83</v>
      </c>
      <c r="D259" s="49">
        <v>200</v>
      </c>
      <c r="E259" s="68">
        <v>0.44</v>
      </c>
      <c r="F259" s="68">
        <v>0.02</v>
      </c>
      <c r="G259" s="68">
        <v>21.1</v>
      </c>
      <c r="H259" s="68">
        <v>86.3</v>
      </c>
      <c r="I259" s="68">
        <v>0.4</v>
      </c>
      <c r="J259" s="68">
        <v>31.6</v>
      </c>
      <c r="K259" s="68">
        <v>6</v>
      </c>
      <c r="L259" s="68">
        <v>1.23</v>
      </c>
    </row>
    <row r="260" spans="1:12" s="65" customFormat="1" ht="18" customHeight="1" x14ac:dyDescent="0.25">
      <c r="A260" s="65">
        <v>3</v>
      </c>
      <c r="B260" s="69" t="s">
        <v>254</v>
      </c>
      <c r="C260" s="64" t="s">
        <v>253</v>
      </c>
      <c r="D260" s="133">
        <v>100</v>
      </c>
      <c r="E260" s="68">
        <v>0.4</v>
      </c>
      <c r="F260" s="68">
        <v>0.3</v>
      </c>
      <c r="G260" s="68">
        <v>10.3</v>
      </c>
      <c r="H260" s="68">
        <v>46</v>
      </c>
      <c r="I260" s="68">
        <v>5</v>
      </c>
      <c r="J260" s="68">
        <v>19</v>
      </c>
      <c r="K260" s="68">
        <v>12</v>
      </c>
      <c r="L260" s="68">
        <v>2.2999999999999998</v>
      </c>
    </row>
    <row r="261" spans="1:12" ht="18" customHeight="1" x14ac:dyDescent="0.25">
      <c r="A261" s="35">
        <v>8</v>
      </c>
      <c r="B261" s="36"/>
      <c r="C261" s="36" t="s">
        <v>14</v>
      </c>
      <c r="D261" s="37">
        <v>450</v>
      </c>
      <c r="E261" s="36">
        <f t="shared" ref="E261:L261" si="64">SUM(E256:E259)</f>
        <v>14.749999999999998</v>
      </c>
      <c r="F261" s="111">
        <f t="shared" si="64"/>
        <v>14.969999999999999</v>
      </c>
      <c r="G261" s="111">
        <f t="shared" si="64"/>
        <v>46.835000000000001</v>
      </c>
      <c r="H261" s="111">
        <f t="shared" si="64"/>
        <v>386.15000000000003</v>
      </c>
      <c r="I261" s="111">
        <f t="shared" si="64"/>
        <v>18.914999999999999</v>
      </c>
      <c r="J261" s="111">
        <f t="shared" si="64"/>
        <v>67.944999999999993</v>
      </c>
      <c r="K261" s="111">
        <f t="shared" si="64"/>
        <v>51.39</v>
      </c>
      <c r="L261" s="111">
        <f t="shared" si="64"/>
        <v>3.3</v>
      </c>
    </row>
    <row r="262" spans="1:12" ht="18" customHeight="1" x14ac:dyDescent="0.25">
      <c r="A262" s="35">
        <v>8</v>
      </c>
      <c r="B262" s="36"/>
      <c r="C262" s="36" t="s">
        <v>23</v>
      </c>
      <c r="D262" s="37">
        <f>D261+D252+D249+D242+D239</f>
        <v>1781</v>
      </c>
      <c r="E262" s="36">
        <f>E239+E249+E261+E252</f>
        <v>40.009999999999991</v>
      </c>
      <c r="F262" s="85">
        <f t="shared" ref="F262:L262" si="65">F239+F249+F261</f>
        <v>45.03</v>
      </c>
      <c r="G262" s="85">
        <f t="shared" si="65"/>
        <v>106.86499999999999</v>
      </c>
      <c r="H262" s="85">
        <f>H239+H249+H261+H242+H252</f>
        <v>1139.44</v>
      </c>
      <c r="I262" s="85">
        <f t="shared" si="65"/>
        <v>32.604999999999997</v>
      </c>
      <c r="J262" s="85">
        <f t="shared" si="65"/>
        <v>172.85499999999999</v>
      </c>
      <c r="K262" s="85">
        <f t="shared" si="65"/>
        <v>166.95999999999998</v>
      </c>
      <c r="L262" s="85">
        <f t="shared" si="65"/>
        <v>8.4400000000000013</v>
      </c>
    </row>
    <row r="263" spans="1:12" s="65" customFormat="1" ht="20.100000000000001" customHeight="1" x14ac:dyDescent="0.25">
      <c r="B263" s="122"/>
      <c r="C263" s="122" t="s">
        <v>91</v>
      </c>
      <c r="D263" s="123"/>
      <c r="E263" s="122">
        <v>54</v>
      </c>
      <c r="F263" s="122">
        <v>60</v>
      </c>
      <c r="G263" s="122">
        <v>261</v>
      </c>
      <c r="H263" s="122">
        <v>1800</v>
      </c>
      <c r="I263" s="122">
        <v>50</v>
      </c>
      <c r="J263" s="122">
        <v>900</v>
      </c>
      <c r="K263" s="122">
        <v>200</v>
      </c>
      <c r="L263" s="122">
        <v>10</v>
      </c>
    </row>
    <row r="264" spans="1:12" s="65" customFormat="1" ht="20.100000000000001" customHeight="1" x14ac:dyDescent="0.25">
      <c r="B264" s="124"/>
      <c r="C264" s="124" t="s">
        <v>92</v>
      </c>
      <c r="D264" s="125"/>
      <c r="E264" s="124">
        <f>ROUND(E262/E263*100-100,2)</f>
        <v>-25.91</v>
      </c>
      <c r="F264" s="124">
        <f t="shared" ref="F264:L264" si="66">ROUND(F262/F263*100-100,2)</f>
        <v>-24.95</v>
      </c>
      <c r="G264" s="124">
        <f t="shared" si="66"/>
        <v>-59.06</v>
      </c>
      <c r="H264" s="124">
        <f t="shared" si="66"/>
        <v>-36.700000000000003</v>
      </c>
      <c r="I264" s="124">
        <f t="shared" si="66"/>
        <v>-34.79</v>
      </c>
      <c r="J264" s="124">
        <f t="shared" si="66"/>
        <v>-80.790000000000006</v>
      </c>
      <c r="K264" s="124">
        <f t="shared" si="66"/>
        <v>-16.52</v>
      </c>
      <c r="L264" s="124">
        <f t="shared" si="66"/>
        <v>-15.6</v>
      </c>
    </row>
    <row r="265" spans="1:12" s="30" customFormat="1" ht="20.100000000000001" customHeight="1" x14ac:dyDescent="0.25">
      <c r="B265" s="31" t="s">
        <v>73</v>
      </c>
      <c r="C265" s="32"/>
      <c r="D265" s="41"/>
      <c r="E265" s="42"/>
      <c r="F265" s="42"/>
      <c r="G265" s="42"/>
      <c r="H265" s="42"/>
      <c r="I265" s="42"/>
      <c r="J265" s="42"/>
      <c r="K265" s="42"/>
      <c r="L265" s="42"/>
    </row>
    <row r="266" spans="1:12" s="30" customFormat="1" ht="20.100000000000001" customHeight="1" x14ac:dyDescent="0.25">
      <c r="B266" s="31" t="s">
        <v>70</v>
      </c>
      <c r="C266" s="32"/>
      <c r="D266" s="41"/>
      <c r="E266" s="42"/>
      <c r="F266" s="42"/>
      <c r="G266" s="42"/>
      <c r="H266" s="42"/>
      <c r="I266" s="42"/>
      <c r="J266" s="42"/>
      <c r="K266" s="42"/>
      <c r="L266" s="42"/>
    </row>
    <row r="267" spans="1:12" s="30" customFormat="1" x14ac:dyDescent="0.25">
      <c r="B267" s="31" t="s">
        <v>204</v>
      </c>
      <c r="C267" s="32"/>
      <c r="D267" s="33"/>
      <c r="E267" s="34"/>
      <c r="F267" s="34"/>
      <c r="G267" s="34"/>
      <c r="H267" s="34"/>
      <c r="I267" s="34"/>
      <c r="J267" s="34"/>
      <c r="K267" s="34"/>
      <c r="L267" s="34"/>
    </row>
    <row r="268" spans="1:12" s="30" customFormat="1" ht="33.75" customHeight="1" x14ac:dyDescent="0.25">
      <c r="B268" s="143" t="s">
        <v>0</v>
      </c>
      <c r="C268" s="143" t="s">
        <v>1</v>
      </c>
      <c r="D268" s="144" t="s">
        <v>2</v>
      </c>
      <c r="E268" s="142" t="s">
        <v>3</v>
      </c>
      <c r="F268" s="142"/>
      <c r="G268" s="142"/>
      <c r="H268" s="142" t="s">
        <v>4</v>
      </c>
      <c r="I268" s="101"/>
      <c r="J268" s="142" t="s">
        <v>5</v>
      </c>
      <c r="K268" s="142"/>
      <c r="L268" s="142"/>
    </row>
    <row r="269" spans="1:12" s="30" customFormat="1" ht="41.25" customHeight="1" x14ac:dyDescent="0.25">
      <c r="B269" s="143"/>
      <c r="C269" s="143"/>
      <c r="D269" s="144"/>
      <c r="E269" s="36" t="s">
        <v>6</v>
      </c>
      <c r="F269" s="36" t="s">
        <v>7</v>
      </c>
      <c r="G269" s="36" t="s">
        <v>8</v>
      </c>
      <c r="H269" s="142"/>
      <c r="I269" s="36" t="s">
        <v>9</v>
      </c>
      <c r="J269" s="36" t="s">
        <v>10</v>
      </c>
      <c r="K269" s="36" t="s">
        <v>11</v>
      </c>
      <c r="L269" s="36" t="s">
        <v>12</v>
      </c>
    </row>
    <row r="270" spans="1:12" ht="18" customHeight="1" x14ac:dyDescent="0.25">
      <c r="A270" s="35">
        <v>9</v>
      </c>
      <c r="B270" s="142" t="s">
        <v>249</v>
      </c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</row>
    <row r="271" spans="1:12" s="65" customFormat="1" ht="21" customHeight="1" x14ac:dyDescent="0.25">
      <c r="A271" s="65">
        <v>2</v>
      </c>
      <c r="B271" s="132" t="s">
        <v>124</v>
      </c>
      <c r="C271" s="50" t="s">
        <v>125</v>
      </c>
      <c r="D271" s="69">
        <v>200</v>
      </c>
      <c r="E271" s="68">
        <v>7.8</v>
      </c>
      <c r="F271" s="68">
        <v>9.09</v>
      </c>
      <c r="G271" s="68">
        <v>10</v>
      </c>
      <c r="H271" s="68">
        <v>153</v>
      </c>
      <c r="I271" s="68">
        <v>0.56000000000000005</v>
      </c>
      <c r="J271" s="68">
        <v>85.1</v>
      </c>
      <c r="K271" s="68">
        <v>19.3</v>
      </c>
      <c r="L271" s="68">
        <v>0.6</v>
      </c>
    </row>
    <row r="272" spans="1:12" s="65" customFormat="1" ht="20.100000000000001" customHeight="1" x14ac:dyDescent="0.25">
      <c r="A272" s="65">
        <v>1</v>
      </c>
      <c r="B272" s="132" t="s">
        <v>106</v>
      </c>
      <c r="C272" s="64" t="s">
        <v>93</v>
      </c>
      <c r="D272" s="69" t="s">
        <v>206</v>
      </c>
      <c r="E272" s="38">
        <v>0.01</v>
      </c>
      <c r="F272" s="38">
        <v>0.01</v>
      </c>
      <c r="G272" s="38">
        <v>5.99</v>
      </c>
      <c r="H272" s="38">
        <v>23.94</v>
      </c>
      <c r="I272" s="38">
        <v>0.02</v>
      </c>
      <c r="J272" s="38">
        <v>9.91</v>
      </c>
      <c r="K272" s="38">
        <v>1.3</v>
      </c>
      <c r="L272" s="38">
        <v>0.27</v>
      </c>
    </row>
    <row r="273" spans="1:12" ht="18" customHeight="1" x14ac:dyDescent="0.25">
      <c r="A273" s="35">
        <v>9</v>
      </c>
      <c r="B273" s="36"/>
      <c r="C273" s="74" t="s">
        <v>14</v>
      </c>
      <c r="D273" s="37">
        <v>386</v>
      </c>
      <c r="E273" s="51">
        <f t="shared" ref="E273:L273" si="67">SUM(E271:E272)</f>
        <v>7.81</v>
      </c>
      <c r="F273" s="51">
        <f t="shared" si="67"/>
        <v>9.1</v>
      </c>
      <c r="G273" s="51">
        <f t="shared" si="67"/>
        <v>15.99</v>
      </c>
      <c r="H273" s="51">
        <f t="shared" si="67"/>
        <v>176.94</v>
      </c>
      <c r="I273" s="51">
        <f t="shared" si="67"/>
        <v>0.58000000000000007</v>
      </c>
      <c r="J273" s="51">
        <f t="shared" si="67"/>
        <v>95.009999999999991</v>
      </c>
      <c r="K273" s="51">
        <f t="shared" si="67"/>
        <v>20.6</v>
      </c>
      <c r="L273" s="51">
        <f t="shared" si="67"/>
        <v>0.87</v>
      </c>
    </row>
    <row r="274" spans="1:12" s="65" customFormat="1" ht="18" customHeight="1" x14ac:dyDescent="0.25">
      <c r="B274" s="139" t="s">
        <v>250</v>
      </c>
      <c r="C274" s="140"/>
      <c r="D274" s="140"/>
      <c r="E274" s="140"/>
      <c r="F274" s="140"/>
      <c r="G274" s="140"/>
      <c r="H274" s="140"/>
      <c r="I274" s="140"/>
      <c r="J274" s="140"/>
      <c r="K274" s="140"/>
      <c r="L274" s="141"/>
    </row>
    <row r="275" spans="1:12" s="65" customFormat="1" ht="18" customHeight="1" x14ac:dyDescent="0.25">
      <c r="B275" s="131" t="s">
        <v>107</v>
      </c>
      <c r="C275" s="64" t="s">
        <v>84</v>
      </c>
      <c r="D275" s="132">
        <v>200</v>
      </c>
      <c r="E275" s="68">
        <v>1</v>
      </c>
      <c r="F275" s="68">
        <v>0</v>
      </c>
      <c r="G275" s="68">
        <v>20.2</v>
      </c>
      <c r="H275" s="68">
        <v>85.3</v>
      </c>
      <c r="I275" s="68">
        <v>4</v>
      </c>
      <c r="J275" s="68">
        <v>14</v>
      </c>
      <c r="K275" s="68">
        <v>8</v>
      </c>
      <c r="L275" s="68">
        <v>2.8</v>
      </c>
    </row>
    <row r="276" spans="1:12" s="65" customFormat="1" ht="18" customHeight="1" x14ac:dyDescent="0.25">
      <c r="B276" s="74"/>
      <c r="C276" s="74" t="s">
        <v>14</v>
      </c>
      <c r="D276" s="75">
        <f>D275</f>
        <v>200</v>
      </c>
      <c r="E276" s="51">
        <f>E275</f>
        <v>1</v>
      </c>
      <c r="F276" s="51">
        <f t="shared" ref="F276:L276" si="68">F275</f>
        <v>0</v>
      </c>
      <c r="G276" s="51">
        <f t="shared" si="68"/>
        <v>20.2</v>
      </c>
      <c r="H276" s="51">
        <f t="shared" si="68"/>
        <v>85.3</v>
      </c>
      <c r="I276" s="51">
        <f t="shared" si="68"/>
        <v>4</v>
      </c>
      <c r="J276" s="51">
        <f t="shared" si="68"/>
        <v>14</v>
      </c>
      <c r="K276" s="51">
        <f t="shared" si="68"/>
        <v>8</v>
      </c>
      <c r="L276" s="51">
        <f t="shared" si="68"/>
        <v>2.8</v>
      </c>
    </row>
    <row r="277" spans="1:12" s="65" customFormat="1" ht="18" customHeight="1" x14ac:dyDescent="0.25">
      <c r="A277" s="65">
        <v>9</v>
      </c>
      <c r="B277" s="139" t="s">
        <v>251</v>
      </c>
      <c r="C277" s="140"/>
      <c r="D277" s="140"/>
      <c r="E277" s="140"/>
      <c r="F277" s="140"/>
      <c r="G277" s="140"/>
      <c r="H277" s="140"/>
      <c r="I277" s="140"/>
      <c r="J277" s="140"/>
      <c r="K277" s="140"/>
      <c r="L277" s="141"/>
    </row>
    <row r="278" spans="1:12" ht="18" customHeight="1" x14ac:dyDescent="0.25">
      <c r="A278" s="35">
        <v>9</v>
      </c>
      <c r="B278" s="128" t="s">
        <v>126</v>
      </c>
      <c r="C278" s="64" t="s">
        <v>127</v>
      </c>
      <c r="D278" s="129">
        <v>50</v>
      </c>
      <c r="E278" s="43">
        <v>0.7</v>
      </c>
      <c r="F278" s="43">
        <v>3</v>
      </c>
      <c r="G278" s="43">
        <v>3.9</v>
      </c>
      <c r="H278" s="43">
        <v>47</v>
      </c>
      <c r="I278" s="43">
        <v>17.399999999999999</v>
      </c>
      <c r="J278" s="43">
        <v>20.3</v>
      </c>
      <c r="K278" s="43">
        <v>14.25</v>
      </c>
      <c r="L278" s="43">
        <v>0.4</v>
      </c>
    </row>
    <row r="279" spans="1:12" ht="18" customHeight="1" x14ac:dyDescent="0.25">
      <c r="B279" s="74" t="s">
        <v>110</v>
      </c>
      <c r="C279" s="22" t="s">
        <v>197</v>
      </c>
      <c r="D279" s="69">
        <v>250</v>
      </c>
      <c r="E279" s="68">
        <v>1.97</v>
      </c>
      <c r="F279" s="68">
        <v>2.7</v>
      </c>
      <c r="G279" s="68">
        <v>14.58</v>
      </c>
      <c r="H279" s="68">
        <v>90.75</v>
      </c>
      <c r="I279" s="68">
        <v>8.1999999999999993</v>
      </c>
      <c r="J279" s="68">
        <v>23</v>
      </c>
      <c r="K279" s="68">
        <v>25</v>
      </c>
      <c r="L279" s="68">
        <v>0.8</v>
      </c>
    </row>
    <row r="280" spans="1:12" ht="18" customHeight="1" x14ac:dyDescent="0.25">
      <c r="B280" s="74" t="s">
        <v>247</v>
      </c>
      <c r="C280" s="64" t="s">
        <v>248</v>
      </c>
      <c r="D280" s="37">
        <v>220</v>
      </c>
      <c r="E280" s="68">
        <v>8.6</v>
      </c>
      <c r="F280" s="68">
        <v>6.9</v>
      </c>
      <c r="G280" s="68">
        <v>8.1</v>
      </c>
      <c r="H280" s="68">
        <v>129</v>
      </c>
      <c r="I280" s="68">
        <v>4.9000000000000004</v>
      </c>
      <c r="J280" s="68">
        <v>9.1999999999999993</v>
      </c>
      <c r="K280" s="68">
        <v>19.100000000000001</v>
      </c>
      <c r="L280" s="68">
        <v>1.2</v>
      </c>
    </row>
    <row r="281" spans="1:12" s="65" customFormat="1" ht="17.45" customHeight="1" x14ac:dyDescent="0.25">
      <c r="B281" s="131" t="s">
        <v>87</v>
      </c>
      <c r="C281" s="64" t="s">
        <v>123</v>
      </c>
      <c r="D281" s="69">
        <v>200</v>
      </c>
      <c r="E281" s="68">
        <v>0.2</v>
      </c>
      <c r="F281" s="68">
        <v>0.1</v>
      </c>
      <c r="G281" s="68">
        <v>12.21</v>
      </c>
      <c r="H281" s="68">
        <v>49</v>
      </c>
      <c r="I281" s="68">
        <v>1.6</v>
      </c>
      <c r="J281" s="68">
        <v>5.88</v>
      </c>
      <c r="K281" s="68">
        <v>3.13</v>
      </c>
      <c r="L281" s="68">
        <v>0.79</v>
      </c>
    </row>
    <row r="282" spans="1:12" ht="18" customHeight="1" x14ac:dyDescent="0.25">
      <c r="A282" s="35">
        <v>9</v>
      </c>
      <c r="B282" s="36"/>
      <c r="C282" s="91" t="s">
        <v>14</v>
      </c>
      <c r="D282" s="37">
        <f t="shared" ref="D282:L282" si="69">SUM(D278:D281)</f>
        <v>720</v>
      </c>
      <c r="E282" s="74">
        <f t="shared" si="69"/>
        <v>11.469999999999999</v>
      </c>
      <c r="F282" s="74">
        <f t="shared" si="69"/>
        <v>12.700000000000001</v>
      </c>
      <c r="G282" s="74">
        <f t="shared" si="69"/>
        <v>38.79</v>
      </c>
      <c r="H282" s="74">
        <f t="shared" si="69"/>
        <v>315.75</v>
      </c>
      <c r="I282" s="74">
        <f t="shared" si="69"/>
        <v>32.1</v>
      </c>
      <c r="J282" s="74">
        <f t="shared" si="69"/>
        <v>58.38</v>
      </c>
      <c r="K282" s="74">
        <f t="shared" si="69"/>
        <v>61.480000000000004</v>
      </c>
      <c r="L282" s="74">
        <f t="shared" si="69"/>
        <v>3.1900000000000004</v>
      </c>
    </row>
    <row r="283" spans="1:12" ht="18" customHeight="1" x14ac:dyDescent="0.25">
      <c r="B283" s="142" t="s">
        <v>221</v>
      </c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</row>
    <row r="284" spans="1:12" s="65" customFormat="1" ht="22.15" customHeight="1" x14ac:dyDescent="0.25">
      <c r="B284" s="134" t="s">
        <v>259</v>
      </c>
      <c r="C284" s="64" t="s">
        <v>146</v>
      </c>
      <c r="D284" s="69">
        <v>150</v>
      </c>
      <c r="E284" s="68">
        <v>0.9</v>
      </c>
      <c r="F284" s="68">
        <v>0.2</v>
      </c>
      <c r="G284" s="68">
        <v>8.3000000000000007</v>
      </c>
      <c r="H284" s="68">
        <v>39</v>
      </c>
      <c r="I284" s="68">
        <v>3.29</v>
      </c>
      <c r="J284" s="68">
        <v>21</v>
      </c>
      <c r="K284" s="68">
        <v>22</v>
      </c>
      <c r="L284" s="68">
        <v>1.38</v>
      </c>
    </row>
    <row r="285" spans="1:12" s="65" customFormat="1" ht="18" customHeight="1" x14ac:dyDescent="0.25">
      <c r="B285" s="85"/>
      <c r="C285" s="85" t="s">
        <v>14</v>
      </c>
      <c r="D285" s="69">
        <f t="shared" ref="D285:L285" si="70">SUM(D284)</f>
        <v>150</v>
      </c>
      <c r="E285" s="85">
        <f t="shared" si="70"/>
        <v>0.9</v>
      </c>
      <c r="F285" s="85">
        <f t="shared" si="70"/>
        <v>0.2</v>
      </c>
      <c r="G285" s="85">
        <f t="shared" si="70"/>
        <v>8.3000000000000007</v>
      </c>
      <c r="H285" s="85">
        <f t="shared" si="70"/>
        <v>39</v>
      </c>
      <c r="I285" s="85">
        <f t="shared" si="70"/>
        <v>3.29</v>
      </c>
      <c r="J285" s="85">
        <f t="shared" si="70"/>
        <v>21</v>
      </c>
      <c r="K285" s="85">
        <f t="shared" si="70"/>
        <v>22</v>
      </c>
      <c r="L285" s="85">
        <f t="shared" si="70"/>
        <v>1.38</v>
      </c>
    </row>
    <row r="286" spans="1:12" s="65" customFormat="1" ht="18" customHeight="1" x14ac:dyDescent="0.25">
      <c r="B286" s="139" t="s">
        <v>252</v>
      </c>
      <c r="C286" s="140"/>
      <c r="D286" s="140"/>
      <c r="E286" s="140"/>
      <c r="F286" s="140"/>
      <c r="G286" s="140"/>
      <c r="H286" s="140"/>
      <c r="I286" s="140"/>
      <c r="J286" s="140"/>
      <c r="K286" s="140"/>
      <c r="L286" s="141"/>
    </row>
    <row r="287" spans="1:12" ht="18" customHeight="1" x14ac:dyDescent="0.25">
      <c r="B287" s="128" t="s">
        <v>162</v>
      </c>
      <c r="C287" s="64" t="s">
        <v>163</v>
      </c>
      <c r="D287" s="69">
        <v>70</v>
      </c>
      <c r="E287" s="68">
        <v>0.8</v>
      </c>
      <c r="F287" s="68">
        <v>4.2</v>
      </c>
      <c r="G287" s="68">
        <v>6.2</v>
      </c>
      <c r="H287" s="68">
        <v>68</v>
      </c>
      <c r="I287" s="68">
        <v>1.1000000000000001</v>
      </c>
      <c r="J287" s="68">
        <v>16.899999999999999</v>
      </c>
      <c r="K287" s="68">
        <v>23.6</v>
      </c>
      <c r="L287" s="68">
        <v>0.4</v>
      </c>
    </row>
    <row r="288" spans="1:12" s="65" customFormat="1" ht="18" customHeight="1" x14ac:dyDescent="0.25">
      <c r="B288" s="128" t="s">
        <v>128</v>
      </c>
      <c r="C288" s="64" t="s">
        <v>88</v>
      </c>
      <c r="D288" s="129">
        <v>50</v>
      </c>
      <c r="E288" s="68">
        <v>0.4</v>
      </c>
      <c r="F288" s="68">
        <v>3</v>
      </c>
      <c r="G288" s="68">
        <v>1.2</v>
      </c>
      <c r="H288" s="68">
        <v>34</v>
      </c>
      <c r="I288" s="68">
        <v>4.5999999999999996</v>
      </c>
      <c r="J288" s="68">
        <v>11.5</v>
      </c>
      <c r="K288" s="68">
        <v>6.5</v>
      </c>
      <c r="L288" s="68">
        <v>0.3</v>
      </c>
    </row>
    <row r="289" spans="1:12" s="65" customFormat="1" ht="18" customHeight="1" x14ac:dyDescent="0.25">
      <c r="B289" s="128"/>
      <c r="C289" s="64" t="s">
        <v>39</v>
      </c>
      <c r="D289" s="129"/>
      <c r="E289" s="128">
        <f>SUM(E287:E288)/2</f>
        <v>0.60000000000000009</v>
      </c>
      <c r="F289" s="128">
        <f t="shared" ref="F289:L289" si="71">SUM(F287:F288)/2</f>
        <v>3.6</v>
      </c>
      <c r="G289" s="128">
        <f t="shared" si="71"/>
        <v>3.7</v>
      </c>
      <c r="H289" s="128">
        <f t="shared" si="71"/>
        <v>51</v>
      </c>
      <c r="I289" s="128">
        <f t="shared" si="71"/>
        <v>2.8499999999999996</v>
      </c>
      <c r="J289" s="128">
        <f t="shared" si="71"/>
        <v>14.2</v>
      </c>
      <c r="K289" s="128">
        <f t="shared" si="71"/>
        <v>15.05</v>
      </c>
      <c r="L289" s="128">
        <f t="shared" si="71"/>
        <v>0.35</v>
      </c>
    </row>
    <row r="290" spans="1:12" s="65" customFormat="1" ht="18" customHeight="1" x14ac:dyDescent="0.25">
      <c r="B290" s="128" t="s">
        <v>149</v>
      </c>
      <c r="C290" s="64" t="s">
        <v>150</v>
      </c>
      <c r="D290" s="129">
        <v>80</v>
      </c>
      <c r="E290" s="68">
        <v>14</v>
      </c>
      <c r="F290" s="68">
        <v>7.69</v>
      </c>
      <c r="G290" s="68">
        <v>8.85</v>
      </c>
      <c r="H290" s="68">
        <v>160.9</v>
      </c>
      <c r="I290" s="68">
        <v>0.8</v>
      </c>
      <c r="J290" s="68">
        <v>35.299999999999997</v>
      </c>
      <c r="K290" s="68">
        <v>36.1</v>
      </c>
      <c r="L290" s="68">
        <v>0.92</v>
      </c>
    </row>
    <row r="291" spans="1:12" s="65" customFormat="1" ht="18" customHeight="1" x14ac:dyDescent="0.25">
      <c r="B291" s="128" t="s">
        <v>236</v>
      </c>
      <c r="C291" s="64" t="s">
        <v>237</v>
      </c>
      <c r="D291" s="129">
        <v>130</v>
      </c>
      <c r="E291" s="68">
        <v>2.89</v>
      </c>
      <c r="F291" s="68">
        <v>5.24</v>
      </c>
      <c r="G291" s="68">
        <v>13</v>
      </c>
      <c r="H291" s="68">
        <v>103.9</v>
      </c>
      <c r="I291" s="68">
        <v>0</v>
      </c>
      <c r="J291" s="68">
        <v>4.5</v>
      </c>
      <c r="K291" s="68">
        <v>45.4</v>
      </c>
      <c r="L291" s="68">
        <v>1.5</v>
      </c>
    </row>
    <row r="292" spans="1:12" s="65" customFormat="1" ht="18" customHeight="1" x14ac:dyDescent="0.25">
      <c r="B292" s="131" t="s">
        <v>138</v>
      </c>
      <c r="C292" s="45" t="s">
        <v>139</v>
      </c>
      <c r="D292" s="46">
        <v>180</v>
      </c>
      <c r="E292" s="44">
        <v>0.5</v>
      </c>
      <c r="F292" s="44">
        <v>0.12</v>
      </c>
      <c r="G292" s="44">
        <v>13.3</v>
      </c>
      <c r="H292" s="44">
        <v>55</v>
      </c>
      <c r="I292" s="44">
        <v>0.7</v>
      </c>
      <c r="J292" s="44">
        <v>6.2</v>
      </c>
      <c r="K292" s="44">
        <v>3.42</v>
      </c>
      <c r="L292" s="44">
        <v>1.2</v>
      </c>
    </row>
    <row r="293" spans="1:12" s="65" customFormat="1" ht="18" customHeight="1" x14ac:dyDescent="0.25">
      <c r="B293" s="69" t="s">
        <v>254</v>
      </c>
      <c r="C293" s="64" t="s">
        <v>256</v>
      </c>
      <c r="D293" s="129">
        <v>120</v>
      </c>
      <c r="E293" s="68">
        <v>0.48</v>
      </c>
      <c r="F293" s="68">
        <v>0.48</v>
      </c>
      <c r="G293" s="68">
        <v>11.76</v>
      </c>
      <c r="H293" s="68">
        <v>56</v>
      </c>
      <c r="I293" s="68">
        <v>12</v>
      </c>
      <c r="J293" s="68">
        <v>19.2</v>
      </c>
      <c r="K293" s="68">
        <v>10.8</v>
      </c>
      <c r="L293" s="68">
        <v>2.64</v>
      </c>
    </row>
    <row r="294" spans="1:12" s="65" customFormat="1" ht="18" customHeight="1" x14ac:dyDescent="0.25">
      <c r="B294" s="113"/>
      <c r="C294" s="113" t="s">
        <v>14</v>
      </c>
      <c r="D294" s="114">
        <v>570</v>
      </c>
      <c r="E294" s="113">
        <f t="shared" ref="E294:L294" si="72">SUM(E289:E293)</f>
        <v>18.47</v>
      </c>
      <c r="F294" s="127">
        <f t="shared" si="72"/>
        <v>17.130000000000003</v>
      </c>
      <c r="G294" s="127">
        <f t="shared" si="72"/>
        <v>50.61</v>
      </c>
      <c r="H294" s="127">
        <f t="shared" si="72"/>
        <v>426.8</v>
      </c>
      <c r="I294" s="127">
        <f t="shared" si="72"/>
        <v>16.350000000000001</v>
      </c>
      <c r="J294" s="127">
        <f t="shared" si="72"/>
        <v>79.400000000000006</v>
      </c>
      <c r="K294" s="127">
        <f t="shared" si="72"/>
        <v>110.77000000000001</v>
      </c>
      <c r="L294" s="127">
        <f t="shared" si="72"/>
        <v>6.6099999999999994</v>
      </c>
    </row>
    <row r="295" spans="1:12" ht="18" customHeight="1" x14ac:dyDescent="0.25">
      <c r="A295" s="35">
        <v>9</v>
      </c>
      <c r="B295" s="36"/>
      <c r="C295" s="74" t="s">
        <v>24</v>
      </c>
      <c r="D295" s="37">
        <f>D273+D276+D282+D294+D285</f>
        <v>2026</v>
      </c>
      <c r="E295" s="74">
        <f t="shared" ref="E295:L295" si="73">E273+E276+E282+E294+E285</f>
        <v>39.65</v>
      </c>
      <c r="F295" s="113">
        <f t="shared" si="73"/>
        <v>39.13000000000001</v>
      </c>
      <c r="G295" s="113">
        <f t="shared" si="73"/>
        <v>133.88999999999999</v>
      </c>
      <c r="H295" s="113">
        <f>H273+H276+H282+H294+H285</f>
        <v>1043.79</v>
      </c>
      <c r="I295" s="113">
        <f t="shared" si="73"/>
        <v>56.32</v>
      </c>
      <c r="J295" s="113">
        <f t="shared" si="73"/>
        <v>267.78999999999996</v>
      </c>
      <c r="K295" s="113">
        <f t="shared" si="73"/>
        <v>222.85000000000002</v>
      </c>
      <c r="L295" s="113">
        <f t="shared" si="73"/>
        <v>14.849999999999998</v>
      </c>
    </row>
    <row r="296" spans="1:12" s="65" customFormat="1" ht="20.100000000000001" customHeight="1" x14ac:dyDescent="0.25">
      <c r="B296" s="122"/>
      <c r="C296" s="122" t="s">
        <v>91</v>
      </c>
      <c r="D296" s="123"/>
      <c r="E296" s="122">
        <v>54</v>
      </c>
      <c r="F296" s="122">
        <v>60</v>
      </c>
      <c r="G296" s="122">
        <v>261</v>
      </c>
      <c r="H296" s="122">
        <v>1800</v>
      </c>
      <c r="I296" s="122">
        <v>50</v>
      </c>
      <c r="J296" s="122">
        <v>900</v>
      </c>
      <c r="K296" s="122">
        <v>200</v>
      </c>
      <c r="L296" s="122">
        <v>10</v>
      </c>
    </row>
    <row r="297" spans="1:12" s="65" customFormat="1" ht="20.100000000000001" customHeight="1" x14ac:dyDescent="0.25">
      <c r="B297" s="124"/>
      <c r="C297" s="124" t="s">
        <v>92</v>
      </c>
      <c r="D297" s="125"/>
      <c r="E297" s="124">
        <f>ROUND(E295/E296*100-100,2)</f>
        <v>-26.57</v>
      </c>
      <c r="F297" s="124">
        <f t="shared" ref="F297:L297" si="74">ROUND(F295/F296*100-100,2)</f>
        <v>-34.78</v>
      </c>
      <c r="G297" s="124">
        <f t="shared" si="74"/>
        <v>-48.7</v>
      </c>
      <c r="H297" s="124">
        <f t="shared" si="74"/>
        <v>-42.01</v>
      </c>
      <c r="I297" s="124">
        <f t="shared" si="74"/>
        <v>12.64</v>
      </c>
      <c r="J297" s="124">
        <f t="shared" si="74"/>
        <v>-70.25</v>
      </c>
      <c r="K297" s="124">
        <f t="shared" si="74"/>
        <v>11.43</v>
      </c>
      <c r="L297" s="124">
        <f t="shared" si="74"/>
        <v>48.5</v>
      </c>
    </row>
    <row r="298" spans="1:12" s="30" customFormat="1" ht="20.100000000000001" customHeight="1" x14ac:dyDescent="0.25">
      <c r="B298" s="31" t="s">
        <v>74</v>
      </c>
      <c r="C298" s="32"/>
      <c r="D298" s="41"/>
      <c r="E298" s="42"/>
      <c r="F298" s="42"/>
      <c r="G298" s="42"/>
      <c r="H298" s="42"/>
      <c r="I298" s="42"/>
      <c r="J298" s="42"/>
      <c r="K298" s="42"/>
      <c r="L298" s="42"/>
    </row>
    <row r="299" spans="1:12" s="30" customFormat="1" ht="20.100000000000001" customHeight="1" x14ac:dyDescent="0.25">
      <c r="B299" s="31" t="s">
        <v>70</v>
      </c>
      <c r="C299" s="32"/>
      <c r="D299" s="41"/>
      <c r="E299" s="42"/>
      <c r="F299" s="42"/>
      <c r="G299" s="42"/>
      <c r="H299" s="42"/>
      <c r="I299" s="42"/>
      <c r="J299" s="42"/>
      <c r="K299" s="42"/>
      <c r="L299" s="42"/>
    </row>
    <row r="300" spans="1:12" s="30" customFormat="1" ht="15" customHeight="1" x14ac:dyDescent="0.25">
      <c r="B300" s="31" t="s">
        <v>204</v>
      </c>
      <c r="C300" s="32"/>
      <c r="D300" s="33"/>
      <c r="E300" s="34"/>
      <c r="F300" s="34"/>
      <c r="G300" s="34"/>
      <c r="H300" s="34"/>
      <c r="I300" s="34"/>
      <c r="J300" s="34"/>
      <c r="K300" s="34"/>
      <c r="L300" s="34"/>
    </row>
    <row r="301" spans="1:12" s="30" customFormat="1" ht="20.100000000000001" hidden="1" customHeight="1" x14ac:dyDescent="0.25">
      <c r="B301" s="40"/>
      <c r="C301" s="40"/>
      <c r="D301" s="41"/>
      <c r="E301" s="42"/>
      <c r="F301" s="42"/>
      <c r="G301" s="42"/>
      <c r="H301" s="42"/>
      <c r="I301" s="42"/>
      <c r="J301" s="42"/>
      <c r="K301" s="42"/>
      <c r="L301" s="42"/>
    </row>
    <row r="302" spans="1:12" s="30" customFormat="1" ht="37.5" customHeight="1" x14ac:dyDescent="0.25">
      <c r="B302" s="143" t="s">
        <v>0</v>
      </c>
      <c r="C302" s="143" t="s">
        <v>1</v>
      </c>
      <c r="D302" s="144" t="s">
        <v>2</v>
      </c>
      <c r="E302" s="142" t="s">
        <v>3</v>
      </c>
      <c r="F302" s="142"/>
      <c r="G302" s="142"/>
      <c r="H302" s="142" t="s">
        <v>4</v>
      </c>
      <c r="I302" s="101"/>
      <c r="J302" s="142" t="s">
        <v>5</v>
      </c>
      <c r="K302" s="142"/>
      <c r="L302" s="142"/>
    </row>
    <row r="303" spans="1:12" s="30" customFormat="1" ht="42.75" customHeight="1" x14ac:dyDescent="0.25">
      <c r="B303" s="143"/>
      <c r="C303" s="143"/>
      <c r="D303" s="144"/>
      <c r="E303" s="36" t="s">
        <v>6</v>
      </c>
      <c r="F303" s="36" t="s">
        <v>7</v>
      </c>
      <c r="G303" s="36" t="s">
        <v>8</v>
      </c>
      <c r="H303" s="142"/>
      <c r="I303" s="36" t="s">
        <v>9</v>
      </c>
      <c r="J303" s="36" t="s">
        <v>10</v>
      </c>
      <c r="K303" s="36" t="s">
        <v>11</v>
      </c>
      <c r="L303" s="36" t="s">
        <v>12</v>
      </c>
    </row>
    <row r="304" spans="1:12" ht="18" customHeight="1" x14ac:dyDescent="0.25">
      <c r="A304" s="35">
        <v>10</v>
      </c>
      <c r="B304" s="142" t="s">
        <v>199</v>
      </c>
      <c r="C304" s="142"/>
      <c r="D304" s="142"/>
      <c r="E304" s="142"/>
      <c r="F304" s="142"/>
      <c r="G304" s="142"/>
      <c r="H304" s="147"/>
      <c r="I304" s="147"/>
      <c r="J304" s="147"/>
      <c r="K304" s="147"/>
      <c r="L304" s="147"/>
    </row>
    <row r="305" spans="1:12" s="65" customFormat="1" ht="19.149999999999999" customHeight="1" x14ac:dyDescent="0.25">
      <c r="A305" s="65">
        <v>3</v>
      </c>
      <c r="B305" s="51" t="s">
        <v>104</v>
      </c>
      <c r="C305" s="64" t="s">
        <v>140</v>
      </c>
      <c r="D305" s="130" t="s">
        <v>205</v>
      </c>
      <c r="E305" s="38">
        <v>6.41</v>
      </c>
      <c r="F305" s="38">
        <v>9.8000000000000007</v>
      </c>
      <c r="G305" s="38">
        <v>11.8</v>
      </c>
      <c r="H305" s="38">
        <v>161.80000000000001</v>
      </c>
      <c r="I305" s="38">
        <v>0.21</v>
      </c>
      <c r="J305" s="38">
        <v>7.49</v>
      </c>
      <c r="K305" s="38">
        <v>45.9</v>
      </c>
      <c r="L305" s="38">
        <v>1.64</v>
      </c>
    </row>
    <row r="306" spans="1:12" s="65" customFormat="1" ht="20.100000000000001" customHeight="1" x14ac:dyDescent="0.25">
      <c r="A306" s="65">
        <v>1</v>
      </c>
      <c r="B306" s="132" t="s">
        <v>106</v>
      </c>
      <c r="C306" s="64" t="s">
        <v>93</v>
      </c>
      <c r="D306" s="69" t="s">
        <v>206</v>
      </c>
      <c r="E306" s="38">
        <v>0.01</v>
      </c>
      <c r="F306" s="38">
        <v>0.01</v>
      </c>
      <c r="G306" s="38">
        <v>5.99</v>
      </c>
      <c r="H306" s="38">
        <v>23.94</v>
      </c>
      <c r="I306" s="38">
        <v>0.02</v>
      </c>
      <c r="J306" s="38">
        <v>9.91</v>
      </c>
      <c r="K306" s="38">
        <v>1.3</v>
      </c>
      <c r="L306" s="38">
        <v>0.27</v>
      </c>
    </row>
    <row r="307" spans="1:12" s="65" customFormat="1" ht="18" customHeight="1" x14ac:dyDescent="0.25">
      <c r="A307" s="65">
        <v>10</v>
      </c>
      <c r="B307" s="74"/>
      <c r="C307" s="74" t="s">
        <v>14</v>
      </c>
      <c r="D307" s="75">
        <v>396</v>
      </c>
      <c r="E307" s="74">
        <f t="shared" ref="E307:L307" si="75">SUM(E305:E306)</f>
        <v>6.42</v>
      </c>
      <c r="F307" s="74">
        <f t="shared" si="75"/>
        <v>9.81</v>
      </c>
      <c r="G307" s="74">
        <f t="shared" si="75"/>
        <v>17.79</v>
      </c>
      <c r="H307" s="74">
        <f t="shared" si="75"/>
        <v>185.74</v>
      </c>
      <c r="I307" s="74">
        <f t="shared" si="75"/>
        <v>0.22999999999999998</v>
      </c>
      <c r="J307" s="74">
        <f t="shared" si="75"/>
        <v>17.399999999999999</v>
      </c>
      <c r="K307" s="74">
        <f t="shared" si="75"/>
        <v>47.199999999999996</v>
      </c>
      <c r="L307" s="74">
        <f t="shared" si="75"/>
        <v>1.91</v>
      </c>
    </row>
    <row r="308" spans="1:12" s="65" customFormat="1" ht="18" customHeight="1" x14ac:dyDescent="0.25">
      <c r="B308" s="139" t="s">
        <v>196</v>
      </c>
      <c r="C308" s="140"/>
      <c r="D308" s="140"/>
      <c r="E308" s="140"/>
      <c r="F308" s="140"/>
      <c r="G308" s="140"/>
      <c r="H308" s="140"/>
      <c r="I308" s="140"/>
      <c r="J308" s="140"/>
      <c r="K308" s="140"/>
      <c r="L308" s="141"/>
    </row>
    <row r="309" spans="1:12" s="65" customFormat="1" ht="18" customHeight="1" x14ac:dyDescent="0.25">
      <c r="B309" s="131" t="s">
        <v>107</v>
      </c>
      <c r="C309" s="64" t="s">
        <v>84</v>
      </c>
      <c r="D309" s="132">
        <v>200</v>
      </c>
      <c r="E309" s="68">
        <v>1</v>
      </c>
      <c r="F309" s="68">
        <v>0</v>
      </c>
      <c r="G309" s="68">
        <v>20.2</v>
      </c>
      <c r="H309" s="68">
        <v>85.3</v>
      </c>
      <c r="I309" s="68">
        <v>4</v>
      </c>
      <c r="J309" s="68">
        <v>14</v>
      </c>
      <c r="K309" s="68">
        <v>8</v>
      </c>
      <c r="L309" s="68">
        <v>2.8</v>
      </c>
    </row>
    <row r="310" spans="1:12" s="65" customFormat="1" ht="18" customHeight="1" x14ac:dyDescent="0.25">
      <c r="B310" s="52"/>
      <c r="C310" s="74" t="s">
        <v>14</v>
      </c>
      <c r="D310" s="75">
        <f>D309</f>
        <v>200</v>
      </c>
      <c r="E310" s="74">
        <f>E309</f>
        <v>1</v>
      </c>
      <c r="F310" s="113">
        <f t="shared" ref="F310:L310" si="76">F309</f>
        <v>0</v>
      </c>
      <c r="G310" s="113">
        <f t="shared" si="76"/>
        <v>20.2</v>
      </c>
      <c r="H310" s="113">
        <f t="shared" si="76"/>
        <v>85.3</v>
      </c>
      <c r="I310" s="113">
        <f t="shared" si="76"/>
        <v>4</v>
      </c>
      <c r="J310" s="113">
        <f t="shared" si="76"/>
        <v>14</v>
      </c>
      <c r="K310" s="113">
        <f t="shared" si="76"/>
        <v>8</v>
      </c>
      <c r="L310" s="113">
        <f t="shared" si="76"/>
        <v>2.8</v>
      </c>
    </row>
    <row r="311" spans="1:12" ht="18" customHeight="1" x14ac:dyDescent="0.25">
      <c r="A311" s="35">
        <v>10</v>
      </c>
      <c r="B311" s="142" t="s">
        <v>200</v>
      </c>
      <c r="C311" s="142"/>
      <c r="D311" s="142"/>
      <c r="E311" s="142"/>
      <c r="F311" s="142"/>
      <c r="G311" s="142"/>
      <c r="H311" s="142"/>
      <c r="I311" s="142"/>
      <c r="J311" s="142"/>
      <c r="K311" s="142"/>
      <c r="L311" s="142"/>
    </row>
    <row r="312" spans="1:12" s="65" customFormat="1" ht="20.100000000000001" customHeight="1" x14ac:dyDescent="0.25">
      <c r="B312" s="132" t="s">
        <v>108</v>
      </c>
      <c r="C312" s="64" t="s">
        <v>109</v>
      </c>
      <c r="D312" s="132">
        <v>70</v>
      </c>
      <c r="E312" s="68">
        <v>0.8</v>
      </c>
      <c r="F312" s="68">
        <v>4.2</v>
      </c>
      <c r="G312" s="68">
        <v>7</v>
      </c>
      <c r="H312" s="68">
        <v>71</v>
      </c>
      <c r="I312" s="68">
        <v>2.4</v>
      </c>
      <c r="J312" s="68">
        <v>20.399999999999999</v>
      </c>
      <c r="K312" s="68">
        <v>11.3</v>
      </c>
      <c r="L312" s="68">
        <v>1</v>
      </c>
    </row>
    <row r="313" spans="1:12" ht="23.25" customHeight="1" x14ac:dyDescent="0.25">
      <c r="B313" s="74" t="s">
        <v>194</v>
      </c>
      <c r="C313" s="64" t="s">
        <v>203</v>
      </c>
      <c r="D313" s="69">
        <v>50</v>
      </c>
      <c r="E313" s="53">
        <v>0.5</v>
      </c>
      <c r="F313" s="53">
        <v>3</v>
      </c>
      <c r="G313" s="53">
        <v>1.8</v>
      </c>
      <c r="H313" s="53">
        <v>38</v>
      </c>
      <c r="I313" s="53">
        <v>11.5</v>
      </c>
      <c r="J313" s="53">
        <v>7.4</v>
      </c>
      <c r="K313" s="53">
        <v>9.1999999999999993</v>
      </c>
      <c r="L313" s="53">
        <v>0.4</v>
      </c>
    </row>
    <row r="314" spans="1:12" ht="18" customHeight="1" x14ac:dyDescent="0.25">
      <c r="B314" s="74"/>
      <c r="C314" s="64" t="s">
        <v>39</v>
      </c>
      <c r="D314" s="37"/>
      <c r="E314" s="118">
        <f>SUM(E312:E313)/2</f>
        <v>0.65</v>
      </c>
      <c r="F314" s="118">
        <f t="shared" ref="F314:L314" si="77">SUM(F312:F313)/2</f>
        <v>3.6</v>
      </c>
      <c r="G314" s="118">
        <f t="shared" si="77"/>
        <v>4.4000000000000004</v>
      </c>
      <c r="H314" s="118">
        <f t="shared" si="77"/>
        <v>54.5</v>
      </c>
      <c r="I314" s="118">
        <f t="shared" si="77"/>
        <v>6.95</v>
      </c>
      <c r="J314" s="118">
        <f t="shared" si="77"/>
        <v>13.899999999999999</v>
      </c>
      <c r="K314" s="118">
        <f t="shared" si="77"/>
        <v>10.25</v>
      </c>
      <c r="L314" s="118">
        <f t="shared" si="77"/>
        <v>0.7</v>
      </c>
    </row>
    <row r="315" spans="1:12" s="65" customFormat="1" ht="17.45" customHeight="1" x14ac:dyDescent="0.25">
      <c r="B315" s="69" t="s">
        <v>129</v>
      </c>
      <c r="C315" s="64" t="s">
        <v>42</v>
      </c>
      <c r="D315" s="130" t="s">
        <v>212</v>
      </c>
      <c r="E315" s="43">
        <v>7.2</v>
      </c>
      <c r="F315" s="43">
        <v>13.57</v>
      </c>
      <c r="G315" s="43">
        <v>13.45</v>
      </c>
      <c r="H315" s="43">
        <v>206.3</v>
      </c>
      <c r="I315" s="43">
        <v>9</v>
      </c>
      <c r="J315" s="43">
        <v>25.8</v>
      </c>
      <c r="K315" s="43">
        <v>33</v>
      </c>
      <c r="L315" s="43">
        <v>1.51</v>
      </c>
    </row>
    <row r="316" spans="1:12" ht="18" customHeight="1" x14ac:dyDescent="0.25">
      <c r="A316" s="35">
        <v>10</v>
      </c>
      <c r="B316" s="128" t="s">
        <v>142</v>
      </c>
      <c r="C316" s="64" t="s">
        <v>175</v>
      </c>
      <c r="D316" s="69">
        <v>80</v>
      </c>
      <c r="E316" s="68">
        <v>14.1</v>
      </c>
      <c r="F316" s="68">
        <v>9.8000000000000007</v>
      </c>
      <c r="G316" s="68">
        <v>1.4</v>
      </c>
      <c r="H316" s="68">
        <v>151.19999999999999</v>
      </c>
      <c r="I316" s="68">
        <v>1.1000000000000001</v>
      </c>
      <c r="J316" s="68">
        <v>15.3</v>
      </c>
      <c r="K316" s="68">
        <v>14.2</v>
      </c>
      <c r="L316" s="68">
        <v>0.9</v>
      </c>
    </row>
    <row r="317" spans="1:12" s="65" customFormat="1" ht="18" customHeight="1" x14ac:dyDescent="0.25">
      <c r="B317" s="128" t="s">
        <v>121</v>
      </c>
      <c r="C317" s="64" t="s">
        <v>176</v>
      </c>
      <c r="D317" s="69">
        <v>150</v>
      </c>
      <c r="E317" s="68">
        <v>3.2</v>
      </c>
      <c r="F317" s="68">
        <v>2.8</v>
      </c>
      <c r="G317" s="68">
        <v>11.9</v>
      </c>
      <c r="H317" s="68">
        <v>93</v>
      </c>
      <c r="I317" s="68">
        <v>31.2</v>
      </c>
      <c r="J317" s="68">
        <v>81.2</v>
      </c>
      <c r="K317" s="68">
        <v>46.5</v>
      </c>
      <c r="L317" s="68">
        <v>1</v>
      </c>
    </row>
    <row r="318" spans="1:12" s="65" customFormat="1" ht="19.5" customHeight="1" x14ac:dyDescent="0.25">
      <c r="B318" s="47" t="s">
        <v>116</v>
      </c>
      <c r="C318" s="48" t="s">
        <v>83</v>
      </c>
      <c r="D318" s="49">
        <v>200</v>
      </c>
      <c r="E318" s="68">
        <v>0.44</v>
      </c>
      <c r="F318" s="68">
        <v>0.02</v>
      </c>
      <c r="G318" s="68">
        <v>21.1</v>
      </c>
      <c r="H318" s="68">
        <v>86.3</v>
      </c>
      <c r="I318" s="68">
        <v>0.4</v>
      </c>
      <c r="J318" s="68">
        <v>31.6</v>
      </c>
      <c r="K318" s="68">
        <v>6</v>
      </c>
      <c r="L318" s="68">
        <v>1.23</v>
      </c>
    </row>
    <row r="319" spans="1:12" ht="18" customHeight="1" x14ac:dyDescent="0.25">
      <c r="A319" s="35">
        <v>10</v>
      </c>
      <c r="B319" s="36"/>
      <c r="C319" s="36" t="s">
        <v>14</v>
      </c>
      <c r="D319" s="37">
        <v>715</v>
      </c>
      <c r="E319" s="36">
        <f t="shared" ref="E319:L319" si="78">SUM(E314:E318)</f>
        <v>25.59</v>
      </c>
      <c r="F319" s="113">
        <f t="shared" si="78"/>
        <v>29.790000000000003</v>
      </c>
      <c r="G319" s="113">
        <f t="shared" si="78"/>
        <v>52.25</v>
      </c>
      <c r="H319" s="113">
        <f t="shared" si="78"/>
        <v>591.29999999999995</v>
      </c>
      <c r="I319" s="113">
        <f t="shared" si="78"/>
        <v>48.65</v>
      </c>
      <c r="J319" s="113">
        <f t="shared" si="78"/>
        <v>167.79999999999998</v>
      </c>
      <c r="K319" s="113">
        <f t="shared" si="78"/>
        <v>109.95</v>
      </c>
      <c r="L319" s="113">
        <f t="shared" si="78"/>
        <v>5.34</v>
      </c>
    </row>
    <row r="320" spans="1:12" ht="18" customHeight="1" x14ac:dyDescent="0.25">
      <c r="A320" s="35">
        <v>10</v>
      </c>
      <c r="B320" s="142" t="s">
        <v>201</v>
      </c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</row>
    <row r="321" spans="1:12" s="65" customFormat="1" ht="18" customHeight="1" x14ac:dyDescent="0.25">
      <c r="B321" s="131" t="s">
        <v>132</v>
      </c>
      <c r="C321" s="64" t="s">
        <v>133</v>
      </c>
      <c r="D321" s="69">
        <v>80</v>
      </c>
      <c r="E321" s="87">
        <v>0.32</v>
      </c>
      <c r="F321" s="87">
        <v>0.32</v>
      </c>
      <c r="G321" s="87">
        <v>24.8</v>
      </c>
      <c r="H321" s="44">
        <v>104</v>
      </c>
      <c r="I321" s="87">
        <v>3.3</v>
      </c>
      <c r="J321" s="87">
        <v>13.1</v>
      </c>
      <c r="K321" s="87">
        <v>7</v>
      </c>
      <c r="L321" s="87">
        <v>1.7</v>
      </c>
    </row>
    <row r="322" spans="1:12" s="65" customFormat="1" ht="18" customHeight="1" x14ac:dyDescent="0.25">
      <c r="B322" s="85"/>
      <c r="C322" s="85" t="s">
        <v>14</v>
      </c>
      <c r="D322" s="69">
        <f t="shared" ref="D322:L322" si="79">SUM(D321)</f>
        <v>80</v>
      </c>
      <c r="E322" s="85">
        <f t="shared" si="79"/>
        <v>0.32</v>
      </c>
      <c r="F322" s="85">
        <f t="shared" si="79"/>
        <v>0.32</v>
      </c>
      <c r="G322" s="85">
        <f t="shared" si="79"/>
        <v>24.8</v>
      </c>
      <c r="H322" s="85">
        <f t="shared" si="79"/>
        <v>104</v>
      </c>
      <c r="I322" s="85">
        <f t="shared" si="79"/>
        <v>3.3</v>
      </c>
      <c r="J322" s="85">
        <f t="shared" si="79"/>
        <v>13.1</v>
      </c>
      <c r="K322" s="85">
        <f t="shared" si="79"/>
        <v>7</v>
      </c>
      <c r="L322" s="85">
        <f t="shared" si="79"/>
        <v>1.7</v>
      </c>
    </row>
    <row r="323" spans="1:12" s="65" customFormat="1" ht="18" customHeight="1" x14ac:dyDescent="0.25">
      <c r="B323" s="139" t="s">
        <v>168</v>
      </c>
      <c r="C323" s="140"/>
      <c r="D323" s="140"/>
      <c r="E323" s="140"/>
      <c r="F323" s="140"/>
      <c r="G323" s="140"/>
      <c r="H323" s="140"/>
      <c r="I323" s="140"/>
      <c r="J323" s="140"/>
      <c r="K323" s="140"/>
      <c r="L323" s="141"/>
    </row>
    <row r="324" spans="1:12" s="65" customFormat="1" ht="19.5" customHeight="1" x14ac:dyDescent="0.25">
      <c r="B324" s="128" t="s">
        <v>164</v>
      </c>
      <c r="C324" s="64" t="s">
        <v>165</v>
      </c>
      <c r="D324" s="69">
        <v>80</v>
      </c>
      <c r="E324" s="68">
        <v>14.4</v>
      </c>
      <c r="F324" s="68">
        <v>28</v>
      </c>
      <c r="G324" s="68">
        <v>0.78</v>
      </c>
      <c r="H324" s="68">
        <v>313.2</v>
      </c>
      <c r="I324" s="68">
        <v>0.38</v>
      </c>
      <c r="J324" s="68">
        <v>9.2200000000000006</v>
      </c>
      <c r="K324" s="68">
        <v>21.3</v>
      </c>
      <c r="L324" s="68">
        <v>1.65</v>
      </c>
    </row>
    <row r="325" spans="1:12" s="65" customFormat="1" ht="18" customHeight="1" x14ac:dyDescent="0.25">
      <c r="A325" s="65">
        <v>6</v>
      </c>
      <c r="B325" s="134" t="s">
        <v>258</v>
      </c>
      <c r="C325" s="64" t="s">
        <v>198</v>
      </c>
      <c r="D325" s="93">
        <v>150</v>
      </c>
      <c r="E325" s="53">
        <v>14.5</v>
      </c>
      <c r="F325" s="53">
        <v>5</v>
      </c>
      <c r="G325" s="53">
        <v>33.799999999999997</v>
      </c>
      <c r="H325" s="53">
        <v>240</v>
      </c>
      <c r="I325" s="53">
        <v>0</v>
      </c>
      <c r="J325" s="53">
        <v>78</v>
      </c>
      <c r="K325" s="53">
        <v>70</v>
      </c>
      <c r="L325" s="53">
        <v>4.45</v>
      </c>
    </row>
    <row r="326" spans="1:12" s="65" customFormat="1" ht="17.45" customHeight="1" x14ac:dyDescent="0.25">
      <c r="B326" s="131" t="s">
        <v>87</v>
      </c>
      <c r="C326" s="64" t="s">
        <v>123</v>
      </c>
      <c r="D326" s="69">
        <v>200</v>
      </c>
      <c r="E326" s="68">
        <v>0.2</v>
      </c>
      <c r="F326" s="68">
        <v>0.1</v>
      </c>
      <c r="G326" s="68">
        <v>12.21</v>
      </c>
      <c r="H326" s="68">
        <v>49</v>
      </c>
      <c r="I326" s="68">
        <v>1.6</v>
      </c>
      <c r="J326" s="68">
        <v>5.88</v>
      </c>
      <c r="K326" s="68">
        <v>3.13</v>
      </c>
      <c r="L326" s="68">
        <v>0.79</v>
      </c>
    </row>
    <row r="327" spans="1:12" s="65" customFormat="1" ht="18" customHeight="1" x14ac:dyDescent="0.25">
      <c r="A327" s="65">
        <v>3</v>
      </c>
      <c r="B327" s="69" t="s">
        <v>254</v>
      </c>
      <c r="C327" s="64" t="s">
        <v>253</v>
      </c>
      <c r="D327" s="133">
        <v>100</v>
      </c>
      <c r="E327" s="68">
        <v>0.4</v>
      </c>
      <c r="F327" s="68">
        <v>0.3</v>
      </c>
      <c r="G327" s="68">
        <v>10.3</v>
      </c>
      <c r="H327" s="68">
        <v>46</v>
      </c>
      <c r="I327" s="68">
        <v>5</v>
      </c>
      <c r="J327" s="68">
        <v>19</v>
      </c>
      <c r="K327" s="68">
        <v>12</v>
      </c>
      <c r="L327" s="68">
        <v>2.2999999999999998</v>
      </c>
    </row>
    <row r="328" spans="1:12" ht="18" customHeight="1" x14ac:dyDescent="0.25">
      <c r="A328" s="35">
        <v>10</v>
      </c>
      <c r="B328" s="36"/>
      <c r="C328" s="36" t="s">
        <v>14</v>
      </c>
      <c r="D328" s="37">
        <f t="shared" ref="D328:L328" si="80">SUM(D324:D327)</f>
        <v>530</v>
      </c>
      <c r="E328" s="36">
        <f t="shared" si="80"/>
        <v>29.499999999999996</v>
      </c>
      <c r="F328" s="117">
        <f t="shared" si="80"/>
        <v>33.4</v>
      </c>
      <c r="G328" s="117">
        <f t="shared" si="80"/>
        <v>57.09</v>
      </c>
      <c r="H328" s="117">
        <f t="shared" si="80"/>
        <v>648.20000000000005</v>
      </c>
      <c r="I328" s="117">
        <f t="shared" si="80"/>
        <v>6.98</v>
      </c>
      <c r="J328" s="117">
        <f t="shared" si="80"/>
        <v>112.1</v>
      </c>
      <c r="K328" s="117">
        <f t="shared" si="80"/>
        <v>106.42999999999999</v>
      </c>
      <c r="L328" s="117">
        <f t="shared" si="80"/>
        <v>9.19</v>
      </c>
    </row>
    <row r="329" spans="1:12" ht="18" customHeight="1" x14ac:dyDescent="0.25">
      <c r="A329" s="35">
        <v>10</v>
      </c>
      <c r="B329" s="36"/>
      <c r="C329" s="36" t="s">
        <v>25</v>
      </c>
      <c r="D329" s="37">
        <f>D328+D322+D319+D310+D307</f>
        <v>1921</v>
      </c>
      <c r="E329" s="100">
        <f t="shared" ref="E329:L329" si="81">E328+E322+E319+E310+E307</f>
        <v>62.83</v>
      </c>
      <c r="F329" s="117">
        <f t="shared" si="81"/>
        <v>73.320000000000007</v>
      </c>
      <c r="G329" s="117">
        <f t="shared" si="81"/>
        <v>172.12999999999997</v>
      </c>
      <c r="H329" s="117">
        <f>H328+H322+H319+H310+H307</f>
        <v>1614.54</v>
      </c>
      <c r="I329" s="117">
        <f t="shared" si="81"/>
        <v>63.16</v>
      </c>
      <c r="J329" s="117">
        <f t="shared" si="81"/>
        <v>324.39999999999998</v>
      </c>
      <c r="K329" s="117">
        <f t="shared" si="81"/>
        <v>278.58</v>
      </c>
      <c r="L329" s="117">
        <f t="shared" si="81"/>
        <v>20.939999999999998</v>
      </c>
    </row>
    <row r="330" spans="1:12" s="65" customFormat="1" ht="20.100000000000001" customHeight="1" x14ac:dyDescent="0.25">
      <c r="B330" s="122"/>
      <c r="C330" s="122" t="s">
        <v>91</v>
      </c>
      <c r="D330" s="123"/>
      <c r="E330" s="122">
        <v>54</v>
      </c>
      <c r="F330" s="122">
        <v>60</v>
      </c>
      <c r="G330" s="122">
        <v>261</v>
      </c>
      <c r="H330" s="122">
        <v>1800</v>
      </c>
      <c r="I330" s="122">
        <v>50</v>
      </c>
      <c r="J330" s="122">
        <v>900</v>
      </c>
      <c r="K330" s="122">
        <v>200</v>
      </c>
      <c r="L330" s="122">
        <v>10</v>
      </c>
    </row>
    <row r="331" spans="1:12" s="65" customFormat="1" ht="20.100000000000001" customHeight="1" x14ac:dyDescent="0.25">
      <c r="B331" s="124"/>
      <c r="C331" s="124" t="s">
        <v>92</v>
      </c>
      <c r="D331" s="125"/>
      <c r="E331" s="124">
        <f>ROUND(E329/E330*100-100,2)</f>
        <v>16.350000000000001</v>
      </c>
      <c r="F331" s="124">
        <f t="shared" ref="F331:L331" si="82">ROUND(F329/F330*100-100,2)</f>
        <v>22.2</v>
      </c>
      <c r="G331" s="124">
        <f t="shared" si="82"/>
        <v>-34.049999999999997</v>
      </c>
      <c r="H331" s="124">
        <f t="shared" si="82"/>
        <v>-10.3</v>
      </c>
      <c r="I331" s="124">
        <f t="shared" si="82"/>
        <v>26.32</v>
      </c>
      <c r="J331" s="124">
        <f t="shared" si="82"/>
        <v>-63.96</v>
      </c>
      <c r="K331" s="124">
        <f t="shared" si="82"/>
        <v>39.29</v>
      </c>
      <c r="L331" s="124">
        <f t="shared" si="82"/>
        <v>109.4</v>
      </c>
    </row>
    <row r="333" spans="1:12" ht="20.25" x14ac:dyDescent="0.25">
      <c r="B333" s="120" t="s">
        <v>90</v>
      </c>
      <c r="C333" s="120"/>
    </row>
    <row r="335" spans="1:12" x14ac:dyDescent="0.25">
      <c r="C335" s="35" t="s">
        <v>94</v>
      </c>
      <c r="D335" s="54">
        <f>SUM(H307+H273+H239+H207+H174+H142+H110+H75+H42+H9)/10</f>
        <v>165.95999999999998</v>
      </c>
    </row>
    <row r="336" spans="1:12" x14ac:dyDescent="0.25">
      <c r="C336" s="35" t="s">
        <v>95</v>
      </c>
      <c r="D336" s="54">
        <f>SUM(H12+H45+H78+H113+H145+H177+H210+H242+H276+H310)/10</f>
        <v>82.369999999999976</v>
      </c>
    </row>
    <row r="337" spans="3:4" x14ac:dyDescent="0.25">
      <c r="C337" s="35" t="s">
        <v>47</v>
      </c>
      <c r="D337" s="54">
        <f>SUM(H20+H53+H85+H119+H152+H186+H217+H249+H282+H319)/10</f>
        <v>549.46</v>
      </c>
    </row>
    <row r="338" spans="3:4" x14ac:dyDescent="0.25">
      <c r="C338" s="35" t="s">
        <v>48</v>
      </c>
      <c r="D338" s="54">
        <f>SUM(H23+H56+H88+H122+H155+H189+H220+H252+H285+H322)/10</f>
        <v>70.819999999999993</v>
      </c>
    </row>
    <row r="339" spans="3:4" x14ac:dyDescent="0.25">
      <c r="C339" s="35" t="s">
        <v>96</v>
      </c>
      <c r="D339" s="54">
        <f>SUM(H29+H62+H97+H129+H161+H195+H226+H261+H294)/10</f>
        <v>355.51500000000004</v>
      </c>
    </row>
  </sheetData>
  <mergeCells count="110">
    <mergeCell ref="B304:L304"/>
    <mergeCell ref="B311:L311"/>
    <mergeCell ref="B234:B235"/>
    <mergeCell ref="C234:C235"/>
    <mergeCell ref="D234:D235"/>
    <mergeCell ref="E234:G234"/>
    <mergeCell ref="H234:H235"/>
    <mergeCell ref="J234:L234"/>
    <mergeCell ref="B268:B269"/>
    <mergeCell ref="C268:C269"/>
    <mergeCell ref="D268:D269"/>
    <mergeCell ref="E268:G268"/>
    <mergeCell ref="H268:H269"/>
    <mergeCell ref="B253:L253"/>
    <mergeCell ref="B286:L286"/>
    <mergeCell ref="B308:L308"/>
    <mergeCell ref="B277:L277"/>
    <mergeCell ref="J268:L268"/>
    <mergeCell ref="B323:L323"/>
    <mergeCell ref="B190:L190"/>
    <mergeCell ref="B139:L139"/>
    <mergeCell ref="C105:C106"/>
    <mergeCell ref="D105:D106"/>
    <mergeCell ref="E105:G105"/>
    <mergeCell ref="H105:H106"/>
    <mergeCell ref="J105:L105"/>
    <mergeCell ref="B320:L320"/>
    <mergeCell ref="B270:L270"/>
    <mergeCell ref="B146:L146"/>
    <mergeCell ref="B153:L153"/>
    <mergeCell ref="B171:L171"/>
    <mergeCell ref="B178:L178"/>
    <mergeCell ref="B187:L187"/>
    <mergeCell ref="B204:L204"/>
    <mergeCell ref="B211:L211"/>
    <mergeCell ref="B218:L218"/>
    <mergeCell ref="B236:L236"/>
    <mergeCell ref="B243:L243"/>
    <mergeCell ref="B250:L250"/>
    <mergeCell ref="B169:B170"/>
    <mergeCell ref="C169:C170"/>
    <mergeCell ref="B143:L143"/>
    <mergeCell ref="J37:L37"/>
    <mergeCell ref="B69:B70"/>
    <mergeCell ref="C69:C70"/>
    <mergeCell ref="D69:D70"/>
    <mergeCell ref="B76:L76"/>
    <mergeCell ref="B111:L111"/>
    <mergeCell ref="H137:H138"/>
    <mergeCell ref="J137:L137"/>
    <mergeCell ref="B137:B138"/>
    <mergeCell ref="C137:C138"/>
    <mergeCell ref="D137:D138"/>
    <mergeCell ref="H69:H70"/>
    <mergeCell ref="J69:L69"/>
    <mergeCell ref="B37:B38"/>
    <mergeCell ref="B71:L71"/>
    <mergeCell ref="B54:L54"/>
    <mergeCell ref="B46:L46"/>
    <mergeCell ref="B39:L39"/>
    <mergeCell ref="E137:G137"/>
    <mergeCell ref="B79:L79"/>
    <mergeCell ref="B86:L86"/>
    <mergeCell ref="B107:L107"/>
    <mergeCell ref="B114:L114"/>
    <mergeCell ref="B120:L120"/>
    <mergeCell ref="J4:L4"/>
    <mergeCell ref="B6:L6"/>
    <mergeCell ref="B13:L13"/>
    <mergeCell ref="B21:L21"/>
    <mergeCell ref="B4:B5"/>
    <mergeCell ref="C4:C5"/>
    <mergeCell ref="D4:D5"/>
    <mergeCell ref="E4:G4"/>
    <mergeCell ref="H4:H5"/>
    <mergeCell ref="B10:L10"/>
    <mergeCell ref="B105:B106"/>
    <mergeCell ref="J169:L169"/>
    <mergeCell ref="B202:B203"/>
    <mergeCell ref="C202:C203"/>
    <mergeCell ref="D202:D203"/>
    <mergeCell ref="E202:G202"/>
    <mergeCell ref="B221:L221"/>
    <mergeCell ref="D169:D170"/>
    <mergeCell ref="E169:G169"/>
    <mergeCell ref="H169:H170"/>
    <mergeCell ref="B24:L24"/>
    <mergeCell ref="B57:L57"/>
    <mergeCell ref="B89:L89"/>
    <mergeCell ref="B123:L123"/>
    <mergeCell ref="B156:L156"/>
    <mergeCell ref="J302:L302"/>
    <mergeCell ref="B302:B303"/>
    <mergeCell ref="C302:C303"/>
    <mergeCell ref="D302:D303"/>
    <mergeCell ref="E302:G302"/>
    <mergeCell ref="H302:H303"/>
    <mergeCell ref="B175:L175"/>
    <mergeCell ref="B208:L208"/>
    <mergeCell ref="B240:L240"/>
    <mergeCell ref="B274:L274"/>
    <mergeCell ref="B283:L283"/>
    <mergeCell ref="C37:C38"/>
    <mergeCell ref="D37:D38"/>
    <mergeCell ref="E37:G37"/>
    <mergeCell ref="H37:H38"/>
    <mergeCell ref="B43:L43"/>
    <mergeCell ref="H202:H203"/>
    <mergeCell ref="J202:L202"/>
    <mergeCell ref="E69:G69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32" max="16383" man="1"/>
    <brk id="65" max="16383" man="1"/>
    <brk id="100" max="16383" man="1"/>
    <brk id="132" max="16383" man="1"/>
    <brk id="164" max="16383" man="1"/>
    <brk id="198" max="16383" man="1"/>
    <brk id="229" max="16383" man="1"/>
    <brk id="264" max="16383" man="1"/>
    <brk id="2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5"/>
  <sheetViews>
    <sheetView workbookViewId="0">
      <selection activeCell="G15" sqref="G15"/>
    </sheetView>
  </sheetViews>
  <sheetFormatPr defaultColWidth="9.140625" defaultRowHeight="15" x14ac:dyDescent="0.2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0" width="9.28515625" style="1" bestFit="1" customWidth="1"/>
    <col min="11" max="11" width="9.140625" style="1"/>
    <col min="12" max="12" width="32.42578125" style="1" hidden="1" customWidth="1"/>
    <col min="13" max="16" width="9.28515625" style="1" hidden="1" customWidth="1"/>
    <col min="17" max="16384" width="9.140625" style="1"/>
  </cols>
  <sheetData>
    <row r="2" spans="2:16" ht="40.5" customHeight="1" thickBot="1" x14ac:dyDescent="0.35">
      <c r="B2" s="153" t="s">
        <v>29</v>
      </c>
      <c r="C2" s="153"/>
      <c r="D2" s="153"/>
      <c r="E2" s="153"/>
      <c r="F2" s="153"/>
      <c r="G2" s="153"/>
      <c r="H2" s="153"/>
      <c r="I2" s="153"/>
      <c r="J2" s="153"/>
    </row>
    <row r="3" spans="2:16" ht="75" customHeight="1" thickBot="1" x14ac:dyDescent="0.3">
      <c r="B3" s="16" t="s">
        <v>26</v>
      </c>
      <c r="C3" s="160" t="s">
        <v>3</v>
      </c>
      <c r="D3" s="160"/>
      <c r="E3" s="160"/>
      <c r="F3" s="160" t="s">
        <v>27</v>
      </c>
      <c r="G3" s="102" t="s">
        <v>82</v>
      </c>
      <c r="H3" s="160" t="s">
        <v>5</v>
      </c>
      <c r="I3" s="160"/>
      <c r="J3" s="160"/>
      <c r="L3" s="157" t="s">
        <v>32</v>
      </c>
      <c r="M3" s="154" t="s">
        <v>3</v>
      </c>
      <c r="N3" s="155"/>
      <c r="O3" s="156"/>
      <c r="P3" s="2" t="s">
        <v>30</v>
      </c>
    </row>
    <row r="4" spans="2:16" ht="19.5" customHeight="1" thickBot="1" x14ac:dyDescent="0.3">
      <c r="B4" s="17"/>
      <c r="C4" s="16" t="s">
        <v>6</v>
      </c>
      <c r="D4" s="16" t="s">
        <v>7</v>
      </c>
      <c r="E4" s="16" t="s">
        <v>8</v>
      </c>
      <c r="F4" s="160"/>
      <c r="G4" s="16" t="s">
        <v>9</v>
      </c>
      <c r="H4" s="16" t="s">
        <v>10</v>
      </c>
      <c r="I4" s="16" t="s">
        <v>11</v>
      </c>
      <c r="J4" s="16" t="s">
        <v>12</v>
      </c>
      <c r="L4" s="158"/>
      <c r="M4" s="3" t="s">
        <v>6</v>
      </c>
      <c r="N4" s="3" t="s">
        <v>7</v>
      </c>
      <c r="O4" s="3" t="s">
        <v>8</v>
      </c>
      <c r="P4" s="4" t="s">
        <v>31</v>
      </c>
    </row>
    <row r="5" spans="2:16" ht="16.5" customHeight="1" thickBot="1" x14ac:dyDescent="0.3">
      <c r="B5" s="18">
        <v>1</v>
      </c>
      <c r="C5" s="19">
        <f>'на выход'!E30</f>
        <v>43.5</v>
      </c>
      <c r="D5" s="19">
        <f>'на выход'!F30</f>
        <v>56.530000000000008</v>
      </c>
      <c r="E5" s="19">
        <f>'на выход'!G30</f>
        <v>154.66999999999999</v>
      </c>
      <c r="F5" s="19">
        <f>'на выход'!H30</f>
        <v>1311.34</v>
      </c>
      <c r="G5" s="19">
        <f>'на выход'!I30</f>
        <v>66.180000000000007</v>
      </c>
      <c r="H5" s="19">
        <f>'на выход'!J30</f>
        <v>304.07</v>
      </c>
      <c r="I5" s="19">
        <f>'на выход'!K30</f>
        <v>244.42999999999998</v>
      </c>
      <c r="J5" s="19">
        <f>'на выход'!L30</f>
        <v>17.14</v>
      </c>
      <c r="L5" s="159"/>
      <c r="M5" s="5" t="s">
        <v>33</v>
      </c>
      <c r="N5" s="5" t="s">
        <v>34</v>
      </c>
      <c r="O5" s="5" t="s">
        <v>35</v>
      </c>
      <c r="P5" s="6" t="s">
        <v>36</v>
      </c>
    </row>
    <row r="6" spans="2:16" ht="16.5" customHeight="1" thickBot="1" x14ac:dyDescent="0.3">
      <c r="B6" s="18">
        <v>2</v>
      </c>
      <c r="C6" s="19">
        <f>'на выход'!E63</f>
        <v>32.979999999999997</v>
      </c>
      <c r="D6" s="19">
        <f>'на выход'!F63</f>
        <v>44.610000000000007</v>
      </c>
      <c r="E6" s="19">
        <f>'на выход'!G63</f>
        <v>147.04</v>
      </c>
      <c r="F6" s="19">
        <f>'на выход'!H63</f>
        <v>1123.5900000000001</v>
      </c>
      <c r="G6" s="19">
        <f>'на выход'!I63</f>
        <v>62.819999999999993</v>
      </c>
      <c r="H6" s="19">
        <f>'на выход'!J63</f>
        <v>254.51</v>
      </c>
      <c r="I6" s="19">
        <f>'на выход'!K63</f>
        <v>169.065</v>
      </c>
      <c r="J6" s="19">
        <f>'на выход'!L63</f>
        <v>15.709999999999999</v>
      </c>
      <c r="L6" s="7" t="s">
        <v>37</v>
      </c>
      <c r="M6" s="8">
        <f>C15</f>
        <v>434.71999999999997</v>
      </c>
      <c r="N6" s="8">
        <f>D15</f>
        <v>559.82000000000005</v>
      </c>
      <c r="O6" s="8">
        <f>E15</f>
        <v>1448.0649999999998</v>
      </c>
      <c r="P6" s="8">
        <f>F15</f>
        <v>12889.45</v>
      </c>
    </row>
    <row r="7" spans="2:16" ht="16.5" customHeight="1" thickBot="1" x14ac:dyDescent="0.3">
      <c r="B7" s="18">
        <v>3</v>
      </c>
      <c r="C7" s="19">
        <f>'на выход'!E98</f>
        <v>45.910000000000004</v>
      </c>
      <c r="D7" s="19">
        <f>'на выход'!F98</f>
        <v>53.300000000000004</v>
      </c>
      <c r="E7" s="19">
        <f>'на выход'!G98</f>
        <v>153.30500000000001</v>
      </c>
      <c r="F7" s="19">
        <f>'на выход'!H98</f>
        <v>1288.1399999999999</v>
      </c>
      <c r="G7" s="19">
        <f>'на выход'!I98</f>
        <v>93.285000000000011</v>
      </c>
      <c r="H7" s="19">
        <f>'на выход'!J98</f>
        <v>297.91499999999996</v>
      </c>
      <c r="I7" s="19">
        <f>'на выход'!K98</f>
        <v>267.14999999999998</v>
      </c>
      <c r="J7" s="19">
        <f>'на выход'!L98</f>
        <v>16.45</v>
      </c>
      <c r="L7" s="7" t="s">
        <v>38</v>
      </c>
      <c r="M7" s="8">
        <f>M6/10</f>
        <v>43.471999999999994</v>
      </c>
      <c r="N7" s="8">
        <f>N6/10</f>
        <v>55.982000000000006</v>
      </c>
      <c r="O7" s="8">
        <f>O6/10</f>
        <v>144.80649999999997</v>
      </c>
      <c r="P7" s="8">
        <f>P6/10</f>
        <v>1288.9450000000002</v>
      </c>
    </row>
    <row r="8" spans="2:16" ht="16.5" customHeight="1" x14ac:dyDescent="0.25">
      <c r="B8" s="18">
        <v>4</v>
      </c>
      <c r="C8" s="19">
        <f>'на выход'!E130</f>
        <v>60.78</v>
      </c>
      <c r="D8" s="19">
        <f>'на выход'!F130</f>
        <v>89.77</v>
      </c>
      <c r="E8" s="19">
        <f>'на выход'!G130</f>
        <v>182.17000000000002</v>
      </c>
      <c r="F8" s="19">
        <f>'на выход'!H130</f>
        <v>1791.54</v>
      </c>
      <c r="G8" s="19">
        <f>'на выход'!I130</f>
        <v>33.29</v>
      </c>
      <c r="H8" s="19">
        <f>'на выход'!J130</f>
        <v>214.77999999999997</v>
      </c>
      <c r="I8" s="19">
        <f>'на выход'!K130</f>
        <v>217.12</v>
      </c>
      <c r="J8" s="19">
        <f>'на выход'!L130</f>
        <v>18.169999999999998</v>
      </c>
    </row>
    <row r="9" spans="2:16" ht="16.5" customHeight="1" x14ac:dyDescent="0.25">
      <c r="B9" s="18">
        <v>5</v>
      </c>
      <c r="C9" s="19">
        <f>'на выход'!E162</f>
        <v>41.760000000000005</v>
      </c>
      <c r="D9" s="19">
        <f>'на выход'!F162</f>
        <v>45.510000000000005</v>
      </c>
      <c r="E9" s="19">
        <f>'на выход'!G162</f>
        <v>150.09</v>
      </c>
      <c r="F9" s="19">
        <f>'на выход'!H162</f>
        <v>1192.3899999999999</v>
      </c>
      <c r="G9" s="19">
        <f>'на выход'!I162</f>
        <v>69.449999999999989</v>
      </c>
      <c r="H9" s="19">
        <f>'на выход'!J162</f>
        <v>282.61</v>
      </c>
      <c r="I9" s="19">
        <f>'на выход'!K162</f>
        <v>223.97</v>
      </c>
      <c r="J9" s="19">
        <f>'на выход'!L162</f>
        <v>16.77</v>
      </c>
    </row>
    <row r="10" spans="2:16" ht="16.5" customHeight="1" x14ac:dyDescent="0.25">
      <c r="B10" s="18">
        <v>6</v>
      </c>
      <c r="C10" s="19">
        <f>'на выход'!E196</f>
        <v>33.879999999999995</v>
      </c>
      <c r="D10" s="19">
        <f>'на выход'!F196</f>
        <v>53.350000000000009</v>
      </c>
      <c r="E10" s="19">
        <f>'на выход'!G196</f>
        <v>118.175</v>
      </c>
      <c r="F10" s="19">
        <f>'на выход'!H196</f>
        <v>1093.8399999999999</v>
      </c>
      <c r="G10" s="19">
        <f>'на выход'!I196</f>
        <v>60.434999999999995</v>
      </c>
      <c r="H10" s="19">
        <f>'на выход'!J196</f>
        <v>220.20499999999998</v>
      </c>
      <c r="I10" s="19">
        <f>'на выход'!K196</f>
        <v>216.62</v>
      </c>
      <c r="J10" s="19">
        <f>'на выход'!L196</f>
        <v>17.059999999999999</v>
      </c>
    </row>
    <row r="11" spans="2:16" ht="16.5" customHeight="1" x14ac:dyDescent="0.25">
      <c r="B11" s="18">
        <v>7</v>
      </c>
      <c r="C11" s="19">
        <f>'на выход'!E227</f>
        <v>33.42</v>
      </c>
      <c r="D11" s="19">
        <f>'на выход'!F227</f>
        <v>59.27</v>
      </c>
      <c r="E11" s="19">
        <f>'на выход'!G227</f>
        <v>129.72999999999999</v>
      </c>
      <c r="F11" s="19">
        <f>'на выход'!H227</f>
        <v>1290.8399999999999</v>
      </c>
      <c r="G11" s="19">
        <f>'на выход'!I227</f>
        <v>32.39</v>
      </c>
      <c r="H11" s="19">
        <f>'на выход'!J227</f>
        <v>169.24</v>
      </c>
      <c r="I11" s="19">
        <f>'на выход'!K227</f>
        <v>191.22</v>
      </c>
      <c r="J11" s="19">
        <f>'на выход'!L227</f>
        <v>15.379999999999999</v>
      </c>
    </row>
    <row r="12" spans="2:16" ht="16.5" customHeight="1" x14ac:dyDescent="0.25">
      <c r="B12" s="18">
        <v>8</v>
      </c>
      <c r="C12" s="19">
        <f>'на выход'!E262</f>
        <v>40.009999999999991</v>
      </c>
      <c r="D12" s="19">
        <f>'на выход'!F262</f>
        <v>45.03</v>
      </c>
      <c r="E12" s="19">
        <f>'на выход'!G262</f>
        <v>106.86499999999999</v>
      </c>
      <c r="F12" s="19">
        <f>'на выход'!H262</f>
        <v>1139.44</v>
      </c>
      <c r="G12" s="19">
        <f>'на выход'!I262</f>
        <v>32.604999999999997</v>
      </c>
      <c r="H12" s="19">
        <f>'на выход'!J262</f>
        <v>172.85499999999999</v>
      </c>
      <c r="I12" s="19">
        <f>'на выход'!K262</f>
        <v>166.95999999999998</v>
      </c>
      <c r="J12" s="19">
        <f>'на выход'!L262</f>
        <v>8.4400000000000013</v>
      </c>
    </row>
    <row r="13" spans="2:16" ht="16.5" customHeight="1" x14ac:dyDescent="0.25">
      <c r="B13" s="18">
        <v>9</v>
      </c>
      <c r="C13" s="19">
        <f>'на выход'!E295</f>
        <v>39.65</v>
      </c>
      <c r="D13" s="19">
        <f>'на выход'!F295</f>
        <v>39.13000000000001</v>
      </c>
      <c r="E13" s="19">
        <f>'на выход'!G295</f>
        <v>133.88999999999999</v>
      </c>
      <c r="F13" s="19">
        <f>'на выход'!H295</f>
        <v>1043.79</v>
      </c>
      <c r="G13" s="19">
        <f>'на выход'!I295</f>
        <v>56.32</v>
      </c>
      <c r="H13" s="19">
        <f>'на выход'!J295</f>
        <v>267.78999999999996</v>
      </c>
      <c r="I13" s="19">
        <f>'на выход'!K295</f>
        <v>222.85000000000002</v>
      </c>
      <c r="J13" s="19">
        <f>'на выход'!L295</f>
        <v>14.849999999999998</v>
      </c>
    </row>
    <row r="14" spans="2:16" ht="15.75" x14ac:dyDescent="0.25">
      <c r="B14" s="18">
        <v>10</v>
      </c>
      <c r="C14" s="19">
        <f>'на выход'!E329</f>
        <v>62.83</v>
      </c>
      <c r="D14" s="19">
        <f>'на выход'!F329</f>
        <v>73.320000000000007</v>
      </c>
      <c r="E14" s="19">
        <f>'на выход'!G329</f>
        <v>172.12999999999997</v>
      </c>
      <c r="F14" s="19">
        <f>'на выход'!H329</f>
        <v>1614.54</v>
      </c>
      <c r="G14" s="19">
        <f>'на выход'!I329</f>
        <v>63.16</v>
      </c>
      <c r="H14" s="19">
        <f>'на выход'!J329</f>
        <v>324.39999999999998</v>
      </c>
      <c r="I14" s="19">
        <f>'на выход'!K329</f>
        <v>278.58</v>
      </c>
      <c r="J14" s="19">
        <f>'на выход'!L329</f>
        <v>20.939999999999998</v>
      </c>
    </row>
    <row r="15" spans="2:16" ht="31.5" x14ac:dyDescent="0.25">
      <c r="B15" s="20" t="s">
        <v>28</v>
      </c>
      <c r="C15" s="21">
        <f>SUM(C5:C14)</f>
        <v>434.71999999999997</v>
      </c>
      <c r="D15" s="21">
        <f t="shared" ref="D15:J15" si="0">SUM(D5:D14)</f>
        <v>559.82000000000005</v>
      </c>
      <c r="E15" s="21">
        <f t="shared" si="0"/>
        <v>1448.0649999999998</v>
      </c>
      <c r="F15" s="21">
        <f t="shared" si="0"/>
        <v>12889.45</v>
      </c>
      <c r="G15" s="21">
        <f t="shared" si="0"/>
        <v>569.93499999999995</v>
      </c>
      <c r="H15" s="21">
        <f t="shared" si="0"/>
        <v>2508.3749999999995</v>
      </c>
      <c r="I15" s="21">
        <f t="shared" si="0"/>
        <v>2197.9650000000001</v>
      </c>
      <c r="J15" s="21">
        <f t="shared" si="0"/>
        <v>160.91</v>
      </c>
    </row>
  </sheetData>
  <mergeCells count="6">
    <mergeCell ref="B2:J2"/>
    <mergeCell ref="M3:O3"/>
    <mergeCell ref="L3:L5"/>
    <mergeCell ref="C3:E3"/>
    <mergeCell ref="F3:F4"/>
    <mergeCell ref="H3:J3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I19" sqref="I19"/>
    </sheetView>
  </sheetViews>
  <sheetFormatPr defaultColWidth="9.140625" defaultRowHeight="15" x14ac:dyDescent="0.25"/>
  <cols>
    <col min="1" max="1" width="9.140625" style="63"/>
    <col min="2" max="2" width="48.85546875" style="63" customWidth="1"/>
    <col min="3" max="3" width="12.7109375" style="63" customWidth="1"/>
    <col min="4" max="4" width="13.28515625" style="63" customWidth="1"/>
    <col min="5" max="5" width="12.5703125" style="63" customWidth="1"/>
    <col min="6" max="7" width="14" style="63" customWidth="1"/>
    <col min="8" max="16384" width="9.140625" style="63"/>
  </cols>
  <sheetData>
    <row r="2" spans="2:7" x14ac:dyDescent="0.25">
      <c r="B2" s="161" t="s">
        <v>75</v>
      </c>
      <c r="C2" s="161"/>
      <c r="D2" s="161"/>
      <c r="E2" s="161"/>
      <c r="F2" s="161"/>
      <c r="G2" s="161"/>
    </row>
    <row r="3" spans="2:7" x14ac:dyDescent="0.25">
      <c r="B3" s="162"/>
      <c r="C3" s="162"/>
      <c r="D3" s="162"/>
      <c r="E3" s="162"/>
      <c r="F3" s="162"/>
      <c r="G3" s="162"/>
    </row>
    <row r="4" spans="2:7" ht="37.5" x14ac:dyDescent="0.25">
      <c r="B4" s="76" t="s">
        <v>76</v>
      </c>
      <c r="C4" s="76" t="s">
        <v>13</v>
      </c>
      <c r="D4" s="76" t="s">
        <v>77</v>
      </c>
      <c r="E4" s="76" t="s">
        <v>15</v>
      </c>
      <c r="F4" s="76" t="s">
        <v>81</v>
      </c>
      <c r="G4" s="88" t="s">
        <v>80</v>
      </c>
    </row>
    <row r="5" spans="2:7" ht="18.75" x14ac:dyDescent="0.25">
      <c r="B5" s="77">
        <v>1</v>
      </c>
      <c r="C5" s="78">
        <f>'на выход'!D9</f>
        <v>396</v>
      </c>
      <c r="D5" s="78">
        <f>'на выход'!D12</f>
        <v>200</v>
      </c>
      <c r="E5" s="78">
        <f>'на выход'!D20</f>
        <v>780</v>
      </c>
      <c r="F5" s="78">
        <f>'на выход'!D23</f>
        <v>75</v>
      </c>
      <c r="G5" s="78">
        <f>'на выход'!D29</f>
        <v>550</v>
      </c>
    </row>
    <row r="6" spans="2:7" ht="18.75" x14ac:dyDescent="0.25">
      <c r="B6" s="77">
        <v>2</v>
      </c>
      <c r="C6" s="78">
        <f>'на выход'!D42</f>
        <v>386</v>
      </c>
      <c r="D6" s="78">
        <f>'на выход'!D45</f>
        <v>200</v>
      </c>
      <c r="E6" s="78">
        <f>'на выход'!D53</f>
        <v>635</v>
      </c>
      <c r="F6" s="78">
        <f>'на выход'!D56</f>
        <v>80</v>
      </c>
      <c r="G6" s="78">
        <f>'на выход'!D62</f>
        <v>490</v>
      </c>
    </row>
    <row r="7" spans="2:7" ht="18.75" x14ac:dyDescent="0.25">
      <c r="B7" s="77">
        <v>3</v>
      </c>
      <c r="C7" s="78">
        <f>'на выход'!D75</f>
        <v>396</v>
      </c>
      <c r="D7" s="78">
        <f>'на выход'!D78</f>
        <v>200</v>
      </c>
      <c r="E7" s="78">
        <f>'на выход'!D85</f>
        <v>720</v>
      </c>
      <c r="F7" s="78">
        <f>'на выход'!D88</f>
        <v>150</v>
      </c>
      <c r="G7" s="78">
        <f>'на выход'!D97</f>
        <v>580</v>
      </c>
    </row>
    <row r="8" spans="2:7" ht="18.75" x14ac:dyDescent="0.25">
      <c r="B8" s="77">
        <v>4</v>
      </c>
      <c r="C8" s="78">
        <f>'на выход'!D110</f>
        <v>436</v>
      </c>
      <c r="D8" s="78">
        <f>'на выход'!D113</f>
        <v>200</v>
      </c>
      <c r="E8" s="78">
        <f>'на выход'!D119</f>
        <v>690</v>
      </c>
      <c r="F8" s="78">
        <f>'на выход'!D122</f>
        <v>80</v>
      </c>
      <c r="G8" s="78">
        <f>'на выход'!D129</f>
        <v>550</v>
      </c>
    </row>
    <row r="9" spans="2:7" ht="18.75" x14ac:dyDescent="0.25">
      <c r="B9" s="77">
        <v>5</v>
      </c>
      <c r="C9" s="78">
        <f>'на выход'!D142</f>
        <v>396</v>
      </c>
      <c r="D9" s="78">
        <f>'на выход'!D145</f>
        <v>200</v>
      </c>
      <c r="E9" s="78">
        <f>'на выход'!D152</f>
        <v>650</v>
      </c>
      <c r="F9" s="78">
        <f>'[1]на 100'!D155</f>
        <v>250</v>
      </c>
      <c r="G9" s="78">
        <f>'на выход'!D161</f>
        <v>550</v>
      </c>
    </row>
    <row r="10" spans="2:7" ht="18.75" x14ac:dyDescent="0.25">
      <c r="B10" s="77">
        <v>6</v>
      </c>
      <c r="C10" s="78">
        <f>'на выход'!D174</f>
        <v>396</v>
      </c>
      <c r="D10" s="78">
        <f>'на выход'!D177</f>
        <v>120</v>
      </c>
      <c r="E10" s="78">
        <f>'на выход'!D186</f>
        <v>710</v>
      </c>
      <c r="F10" s="78">
        <f>'на выход'!D195</f>
        <v>530</v>
      </c>
      <c r="G10" s="78">
        <f>'на выход'!D195</f>
        <v>530</v>
      </c>
    </row>
    <row r="11" spans="2:7" ht="18.75" x14ac:dyDescent="0.25">
      <c r="B11" s="77">
        <v>7</v>
      </c>
      <c r="C11" s="78">
        <f>'на выход'!D207</f>
        <v>436</v>
      </c>
      <c r="D11" s="78">
        <f>'на выход'!D210</f>
        <v>200</v>
      </c>
      <c r="E11" s="78">
        <f>'на выход'!D217</f>
        <v>680</v>
      </c>
      <c r="F11" s="78">
        <f>'на выход'!D220</f>
        <v>80</v>
      </c>
      <c r="G11" s="78">
        <f>'на выход'!D226</f>
        <v>530</v>
      </c>
    </row>
    <row r="12" spans="2:7" ht="18.75" x14ac:dyDescent="0.25">
      <c r="B12" s="77">
        <v>8</v>
      </c>
      <c r="C12" s="78">
        <f>'на выход'!D239</f>
        <v>396</v>
      </c>
      <c r="D12" s="78">
        <f>'на выход'!D242</f>
        <v>200</v>
      </c>
      <c r="E12" s="78">
        <f>'на выход'!D249</f>
        <v>660</v>
      </c>
      <c r="F12" s="78">
        <f>'на выход'!D252</f>
        <v>75</v>
      </c>
      <c r="G12" s="78">
        <f>'на выход'!D261</f>
        <v>450</v>
      </c>
    </row>
    <row r="13" spans="2:7" ht="18.75" x14ac:dyDescent="0.25">
      <c r="B13" s="77">
        <v>9</v>
      </c>
      <c r="C13" s="78">
        <f>'на выход'!D273</f>
        <v>386</v>
      </c>
      <c r="D13" s="78">
        <f>'на выход'!D276</f>
        <v>200</v>
      </c>
      <c r="E13" s="78">
        <f>'на выход'!D282</f>
        <v>720</v>
      </c>
      <c r="F13" s="78">
        <f>'на выход'!D285</f>
        <v>150</v>
      </c>
      <c r="G13" s="78">
        <v>490</v>
      </c>
    </row>
    <row r="14" spans="2:7" ht="18.75" x14ac:dyDescent="0.25">
      <c r="B14" s="77">
        <v>10</v>
      </c>
      <c r="C14" s="78">
        <f>'на выход'!D307</f>
        <v>396</v>
      </c>
      <c r="D14" s="78">
        <f>'на выход'!D310</f>
        <v>200</v>
      </c>
      <c r="E14" s="78">
        <f>'на выход'!D319</f>
        <v>715</v>
      </c>
      <c r="F14" s="78">
        <f>'на выход'!D322</f>
        <v>80</v>
      </c>
      <c r="G14" s="78">
        <f>'на выход'!D328</f>
        <v>530</v>
      </c>
    </row>
    <row r="15" spans="2:7" ht="18.75" x14ac:dyDescent="0.25">
      <c r="B15" s="79" t="s">
        <v>78</v>
      </c>
      <c r="C15" s="80">
        <v>400</v>
      </c>
      <c r="D15" s="80">
        <v>100</v>
      </c>
      <c r="E15" s="89">
        <v>600</v>
      </c>
      <c r="F15" s="80">
        <v>250</v>
      </c>
      <c r="G15" s="89">
        <v>450</v>
      </c>
    </row>
    <row r="16" spans="2:7" ht="18.75" x14ac:dyDescent="0.25">
      <c r="B16" s="76" t="s">
        <v>79</v>
      </c>
      <c r="C16" s="81">
        <f>(C5+C6+C7+C8+C9+C10+C11+C12+C13+C14)/10</f>
        <v>402</v>
      </c>
      <c r="D16" s="81">
        <f>(D5+D6+D7+D8+D9+D10+D11+D12+D13+D14)/10</f>
        <v>192</v>
      </c>
      <c r="E16" s="81">
        <f>(E5+E6+E7+E8+E9+E10+E11+E12+E13+E14)/10</f>
        <v>696</v>
      </c>
      <c r="F16" s="81">
        <f>(F5+F6+F7+F8+F9+F10+F11+F12+F13+F14)/10</f>
        <v>155</v>
      </c>
      <c r="G16" s="90">
        <f>(G5+G6+G7+G8+G9+G10+G11+G12+G13+G14)/10</f>
        <v>525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opLeftCell="A7" workbookViewId="0">
      <selection activeCell="A18" sqref="A18"/>
    </sheetView>
  </sheetViews>
  <sheetFormatPr defaultColWidth="9.140625" defaultRowHeight="18.75" x14ac:dyDescent="0.3"/>
  <cols>
    <col min="1" max="1" width="141.7109375" style="10" customWidth="1"/>
    <col min="2" max="16384" width="9.140625" style="10"/>
  </cols>
  <sheetData>
    <row r="1" spans="1:1" x14ac:dyDescent="0.3">
      <c r="A1" s="9" t="s">
        <v>40</v>
      </c>
    </row>
    <row r="2" spans="1:1" s="13" customFormat="1" ht="33" x14ac:dyDescent="0.25">
      <c r="A2" s="12" t="s">
        <v>97</v>
      </c>
    </row>
    <row r="3" spans="1:1" s="13" customFormat="1" ht="33" x14ac:dyDescent="0.25">
      <c r="A3" s="12" t="s">
        <v>98</v>
      </c>
    </row>
    <row r="4" spans="1:1" s="13" customFormat="1" ht="33" x14ac:dyDescent="0.25">
      <c r="A4" s="12" t="s">
        <v>89</v>
      </c>
    </row>
    <row r="5" spans="1:1" s="13" customFormat="1" ht="33" x14ac:dyDescent="0.25">
      <c r="A5" s="12" t="s">
        <v>103</v>
      </c>
    </row>
    <row r="6" spans="1:1" s="13" customFormat="1" ht="33" x14ac:dyDescent="0.25">
      <c r="A6" s="12" t="s">
        <v>99</v>
      </c>
    </row>
    <row r="7" spans="1:1" s="13" customFormat="1" ht="16.5" x14ac:dyDescent="0.25">
      <c r="A7" s="12" t="s">
        <v>100</v>
      </c>
    </row>
    <row r="8" spans="1:1" s="13" customFormat="1" ht="33" x14ac:dyDescent="0.25">
      <c r="A8" s="12" t="s">
        <v>101</v>
      </c>
    </row>
    <row r="9" spans="1:1" s="13" customFormat="1" ht="16.5" x14ac:dyDescent="0.25">
      <c r="A9" s="14" t="s">
        <v>102</v>
      </c>
    </row>
    <row r="10" spans="1:1" s="136" customFormat="1" ht="49.5" x14ac:dyDescent="0.25">
      <c r="A10" s="15" t="s">
        <v>257</v>
      </c>
    </row>
    <row r="11" spans="1:1" s="13" customFormat="1" ht="16.5" x14ac:dyDescent="0.25">
      <c r="A11" s="14"/>
    </row>
    <row r="12" spans="1:1" s="13" customFormat="1" ht="16.5" x14ac:dyDescent="0.25">
      <c r="A12" s="14" t="s">
        <v>41</v>
      </c>
    </row>
    <row r="13" spans="1:1" s="13" customFormat="1" ht="33" x14ac:dyDescent="0.25">
      <c r="A13" s="15" t="s">
        <v>255</v>
      </c>
    </row>
    <row r="14" spans="1:1" s="138" customFormat="1" ht="49.5" x14ac:dyDescent="0.25">
      <c r="A14" s="137" t="s">
        <v>260</v>
      </c>
    </row>
    <row r="15" spans="1:1" x14ac:dyDescent="0.3">
      <c r="A15" s="11"/>
    </row>
    <row r="16" spans="1:1" x14ac:dyDescent="0.3">
      <c r="A16" s="135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M20" sqref="M20"/>
    </sheetView>
  </sheetViews>
  <sheetFormatPr defaultColWidth="9.140625" defaultRowHeight="15" x14ac:dyDescent="0.25"/>
  <cols>
    <col min="1" max="1" width="36.28515625" style="23" customWidth="1"/>
    <col min="2" max="6" width="9.140625" style="23"/>
    <col min="7" max="8" width="10.7109375" style="23" customWidth="1"/>
    <col min="9" max="9" width="9.5703125" style="23" customWidth="1"/>
    <col min="10" max="16384" width="9.140625" style="23"/>
  </cols>
  <sheetData>
    <row r="2" spans="1:10" x14ac:dyDescent="0.25">
      <c r="A2" s="28" t="s">
        <v>57</v>
      </c>
    </row>
    <row r="3" spans="1:10" ht="15.75" x14ac:dyDescent="0.25">
      <c r="A3" s="25"/>
      <c r="B3" s="25"/>
      <c r="C3" s="164" t="s">
        <v>56</v>
      </c>
      <c r="D3" s="164"/>
      <c r="E3" s="164" t="s">
        <v>43</v>
      </c>
      <c r="F3" s="164"/>
      <c r="G3" s="164" t="s">
        <v>44</v>
      </c>
      <c r="H3" s="164"/>
      <c r="I3" s="164" t="s">
        <v>45</v>
      </c>
      <c r="J3" s="164"/>
    </row>
    <row r="4" spans="1:10" ht="15.75" x14ac:dyDescent="0.25">
      <c r="A4" s="25"/>
      <c r="B4" s="25"/>
      <c r="C4" s="26" t="s">
        <v>50</v>
      </c>
      <c r="D4" s="26" t="s">
        <v>51</v>
      </c>
      <c r="E4" s="26" t="s">
        <v>50</v>
      </c>
      <c r="F4" s="26" t="s">
        <v>51</v>
      </c>
      <c r="G4" s="26" t="s">
        <v>50</v>
      </c>
      <c r="H4" s="26" t="s">
        <v>51</v>
      </c>
      <c r="I4" s="26" t="s">
        <v>50</v>
      </c>
      <c r="J4" s="26" t="s">
        <v>51</v>
      </c>
    </row>
    <row r="5" spans="1:10" ht="15.75" x14ac:dyDescent="0.25">
      <c r="A5" s="25" t="s">
        <v>46</v>
      </c>
      <c r="B5" s="25" t="s">
        <v>49</v>
      </c>
      <c r="C5" s="25">
        <f>77*20/100</f>
        <v>15.4</v>
      </c>
      <c r="D5" s="25">
        <f>77*25/100</f>
        <v>19.25</v>
      </c>
      <c r="E5" s="25">
        <f>79*20/100</f>
        <v>15.8</v>
      </c>
      <c r="F5" s="25">
        <f>79*25/100</f>
        <v>19.75</v>
      </c>
      <c r="G5" s="25">
        <f>335*20/100</f>
        <v>67</v>
      </c>
      <c r="H5" s="25">
        <f>335*25/100</f>
        <v>83.75</v>
      </c>
      <c r="I5" s="25">
        <f>2350*20/100</f>
        <v>470</v>
      </c>
      <c r="J5" s="25">
        <f>2350*25/100</f>
        <v>587.5</v>
      </c>
    </row>
    <row r="6" spans="1:10" ht="15.75" x14ac:dyDescent="0.25">
      <c r="A6" s="25" t="s">
        <v>47</v>
      </c>
      <c r="B6" s="25" t="s">
        <v>52</v>
      </c>
      <c r="C6" s="25">
        <f>77*30/100</f>
        <v>23.1</v>
      </c>
      <c r="D6" s="25">
        <f>77*35/100</f>
        <v>26.95</v>
      </c>
      <c r="E6" s="25">
        <f>79*30/100</f>
        <v>23.7</v>
      </c>
      <c r="F6" s="25">
        <f>79*35/100</f>
        <v>27.65</v>
      </c>
      <c r="G6" s="25">
        <f>335*30/100</f>
        <v>100.5</v>
      </c>
      <c r="H6" s="25">
        <f>335*35/100</f>
        <v>117.25</v>
      </c>
      <c r="I6" s="25">
        <f>2350*30/100</f>
        <v>705</v>
      </c>
      <c r="J6" s="25">
        <f>2350*35/100</f>
        <v>822.5</v>
      </c>
    </row>
    <row r="7" spans="1:10" ht="15.75" x14ac:dyDescent="0.25">
      <c r="A7" s="25" t="s">
        <v>48</v>
      </c>
      <c r="B7" s="25" t="s">
        <v>53</v>
      </c>
      <c r="C7" s="25">
        <f>77*10/100</f>
        <v>7.7</v>
      </c>
      <c r="D7" s="25">
        <f>77*15/100</f>
        <v>11.55</v>
      </c>
      <c r="E7" s="25">
        <f>79*10/100</f>
        <v>7.9</v>
      </c>
      <c r="F7" s="25">
        <f>79*15/100</f>
        <v>11.85</v>
      </c>
      <c r="G7" s="25">
        <f>335*10/100</f>
        <v>33.5</v>
      </c>
      <c r="H7" s="25">
        <f>335*15/100</f>
        <v>50.25</v>
      </c>
      <c r="I7" s="25">
        <f>2350*10/100</f>
        <v>235</v>
      </c>
      <c r="J7" s="25">
        <f>2350*15/100</f>
        <v>352.5</v>
      </c>
    </row>
    <row r="8" spans="1:10" ht="15.75" x14ac:dyDescent="0.25">
      <c r="A8" s="25" t="s">
        <v>54</v>
      </c>
      <c r="B8" s="25" t="s">
        <v>55</v>
      </c>
      <c r="C8" s="25">
        <f>SUM(C5:C7)</f>
        <v>46.2</v>
      </c>
      <c r="D8" s="25">
        <f t="shared" ref="D8:J8" si="0">SUM(D5:D7)</f>
        <v>57.75</v>
      </c>
      <c r="E8" s="25">
        <f t="shared" si="0"/>
        <v>47.4</v>
      </c>
      <c r="F8" s="25">
        <f t="shared" si="0"/>
        <v>59.25</v>
      </c>
      <c r="G8" s="25">
        <f t="shared" si="0"/>
        <v>201</v>
      </c>
      <c r="H8" s="25">
        <f t="shared" si="0"/>
        <v>251.25</v>
      </c>
      <c r="I8" s="25">
        <f t="shared" si="0"/>
        <v>1410</v>
      </c>
      <c r="J8" s="25">
        <f t="shared" si="0"/>
        <v>1762.5</v>
      </c>
    </row>
    <row r="9" spans="1:10" x14ac:dyDescent="0.25">
      <c r="C9" s="24"/>
    </row>
    <row r="10" spans="1:10" x14ac:dyDescent="0.25">
      <c r="A10" s="23" t="s">
        <v>58</v>
      </c>
    </row>
    <row r="11" spans="1:10" ht="15.75" x14ac:dyDescent="0.25">
      <c r="A11" s="25"/>
      <c r="B11" s="25"/>
      <c r="C11" s="164" t="s">
        <v>56</v>
      </c>
      <c r="D11" s="164"/>
      <c r="E11" s="164" t="s">
        <v>43</v>
      </c>
      <c r="F11" s="164"/>
      <c r="G11" s="164" t="s">
        <v>44</v>
      </c>
      <c r="H11" s="164"/>
      <c r="I11" s="164" t="s">
        <v>45</v>
      </c>
      <c r="J11" s="164"/>
    </row>
    <row r="12" spans="1:10" ht="15.75" x14ac:dyDescent="0.25">
      <c r="A12" s="25"/>
      <c r="B12" s="25"/>
      <c r="C12" s="27" t="s">
        <v>50</v>
      </c>
      <c r="D12" s="27" t="s">
        <v>51</v>
      </c>
      <c r="E12" s="27" t="s">
        <v>50</v>
      </c>
      <c r="F12" s="27" t="s">
        <v>51</v>
      </c>
      <c r="G12" s="27" t="s">
        <v>50</v>
      </c>
      <c r="H12" s="27" t="s">
        <v>51</v>
      </c>
      <c r="I12" s="27" t="s">
        <v>50</v>
      </c>
      <c r="J12" s="27" t="s">
        <v>51</v>
      </c>
    </row>
    <row r="13" spans="1:10" ht="15.75" x14ac:dyDescent="0.25">
      <c r="A13" s="25" t="s">
        <v>46</v>
      </c>
      <c r="B13" s="25" t="s">
        <v>49</v>
      </c>
      <c r="C13" s="25">
        <f>90*20/100</f>
        <v>18</v>
      </c>
      <c r="D13" s="25">
        <f>90*25/100</f>
        <v>22.5</v>
      </c>
      <c r="E13" s="25">
        <f>92*20/100</f>
        <v>18.399999999999999</v>
      </c>
      <c r="F13" s="25">
        <f>92*25/100</f>
        <v>23</v>
      </c>
      <c r="G13" s="25">
        <f>383*20/100</f>
        <v>76.599999999999994</v>
      </c>
      <c r="H13" s="25">
        <f>383*25/100</f>
        <v>95.75</v>
      </c>
      <c r="I13" s="25">
        <f>2720*20/100</f>
        <v>544</v>
      </c>
      <c r="J13" s="25">
        <f>2350*25/100</f>
        <v>587.5</v>
      </c>
    </row>
    <row r="14" spans="1:10" ht="15.75" x14ac:dyDescent="0.25">
      <c r="A14" s="25" t="s">
        <v>47</v>
      </c>
      <c r="B14" s="25" t="s">
        <v>52</v>
      </c>
      <c r="C14" s="25">
        <f>90*30/100</f>
        <v>27</v>
      </c>
      <c r="D14" s="25">
        <f>90*35/100</f>
        <v>31.5</v>
      </c>
      <c r="E14" s="25">
        <f>92*30/100</f>
        <v>27.6</v>
      </c>
      <c r="F14" s="25">
        <f>92*35/100</f>
        <v>32.200000000000003</v>
      </c>
      <c r="G14" s="25">
        <f>383*30/100</f>
        <v>114.9</v>
      </c>
      <c r="H14" s="25">
        <f>383*35/100</f>
        <v>134.05000000000001</v>
      </c>
      <c r="I14" s="25">
        <f>2720*30/100</f>
        <v>816</v>
      </c>
      <c r="J14" s="25">
        <f>2350*35/100</f>
        <v>822.5</v>
      </c>
    </row>
    <row r="15" spans="1:10" ht="15.75" x14ac:dyDescent="0.25">
      <c r="A15" s="25" t="s">
        <v>48</v>
      </c>
      <c r="B15" s="25" t="s">
        <v>53</v>
      </c>
      <c r="C15" s="25">
        <f>90*10/100</f>
        <v>9</v>
      </c>
      <c r="D15" s="25">
        <f>90*15/100</f>
        <v>13.5</v>
      </c>
      <c r="E15" s="25">
        <f>92*10/100</f>
        <v>9.1999999999999993</v>
      </c>
      <c r="F15" s="25">
        <f>92*15/100</f>
        <v>13.8</v>
      </c>
      <c r="G15" s="25">
        <f>383*10/100</f>
        <v>38.299999999999997</v>
      </c>
      <c r="H15" s="25">
        <f>383*15/100</f>
        <v>57.45</v>
      </c>
      <c r="I15" s="25">
        <f>2720*10/100</f>
        <v>272</v>
      </c>
      <c r="J15" s="25">
        <f>2720*15/100</f>
        <v>408</v>
      </c>
    </row>
    <row r="16" spans="1:10" ht="15.75" x14ac:dyDescent="0.25">
      <c r="A16" s="25" t="s">
        <v>54</v>
      </c>
      <c r="B16" s="25" t="s">
        <v>55</v>
      </c>
      <c r="C16" s="25">
        <f>SUM(C13:C15)</f>
        <v>54</v>
      </c>
      <c r="D16" s="25">
        <f t="shared" ref="D16:J16" si="1">SUM(D13:D15)</f>
        <v>67.5</v>
      </c>
      <c r="E16" s="25">
        <f t="shared" si="1"/>
        <v>55.2</v>
      </c>
      <c r="F16" s="25">
        <f t="shared" si="1"/>
        <v>69</v>
      </c>
      <c r="G16" s="25">
        <f t="shared" si="1"/>
        <v>229.8</v>
      </c>
      <c r="H16" s="25">
        <f t="shared" si="1"/>
        <v>287.25</v>
      </c>
      <c r="I16" s="25">
        <f t="shared" si="1"/>
        <v>1632</v>
      </c>
      <c r="J16" s="25">
        <f t="shared" si="1"/>
        <v>1818</v>
      </c>
    </row>
    <row r="17" spans="1:10" x14ac:dyDescent="0.25">
      <c r="C17" s="23">
        <v>60.42</v>
      </c>
      <c r="E17" s="23">
        <v>63.65</v>
      </c>
      <c r="G17" s="23">
        <v>245.7</v>
      </c>
      <c r="I17" s="23">
        <v>1827.17</v>
      </c>
    </row>
    <row r="20" spans="1:10" ht="83.25" customHeight="1" x14ac:dyDescent="0.25">
      <c r="A20" s="166" t="s">
        <v>59</v>
      </c>
      <c r="B20" s="166"/>
      <c r="C20" s="166"/>
      <c r="D20" s="166"/>
      <c r="E20" s="166"/>
      <c r="F20" s="166"/>
      <c r="G20" s="166"/>
      <c r="H20" s="166"/>
      <c r="I20" s="166"/>
      <c r="J20" s="166"/>
    </row>
    <row r="21" spans="1:10" ht="15.75" x14ac:dyDescent="0.25">
      <c r="A21" s="167"/>
      <c r="B21" s="168"/>
      <c r="C21" s="164" t="s">
        <v>56</v>
      </c>
      <c r="D21" s="164"/>
      <c r="E21" s="164" t="s">
        <v>43</v>
      </c>
      <c r="F21" s="164"/>
      <c r="G21" s="164" t="s">
        <v>44</v>
      </c>
      <c r="H21" s="164"/>
      <c r="I21" s="164" t="s">
        <v>45</v>
      </c>
      <c r="J21" s="164"/>
    </row>
    <row r="22" spans="1:10" ht="15.75" x14ac:dyDescent="0.25">
      <c r="A22" s="164"/>
      <c r="B22" s="164"/>
      <c r="C22" s="27" t="s">
        <v>50</v>
      </c>
      <c r="D22" s="27" t="s">
        <v>51</v>
      </c>
      <c r="E22" s="27" t="s">
        <v>50</v>
      </c>
      <c r="F22" s="27" t="s">
        <v>51</v>
      </c>
      <c r="G22" s="27" t="s">
        <v>50</v>
      </c>
      <c r="H22" s="27" t="s">
        <v>51</v>
      </c>
      <c r="I22" s="27" t="s">
        <v>50</v>
      </c>
      <c r="J22" s="27" t="s">
        <v>51</v>
      </c>
    </row>
    <row r="23" spans="1:10" ht="45" customHeight="1" x14ac:dyDescent="0.25">
      <c r="A23" s="165" t="s">
        <v>61</v>
      </c>
      <c r="B23" s="165"/>
      <c r="C23" s="29">
        <v>46.2</v>
      </c>
      <c r="D23" s="29">
        <v>57.75</v>
      </c>
      <c r="E23" s="29">
        <v>47.4</v>
      </c>
      <c r="F23" s="29">
        <v>59.25</v>
      </c>
      <c r="G23" s="29">
        <v>201</v>
      </c>
      <c r="H23" s="29">
        <v>251.25</v>
      </c>
      <c r="I23" s="29">
        <v>1410</v>
      </c>
      <c r="J23" s="29">
        <v>1762.5</v>
      </c>
    </row>
    <row r="24" spans="1:10" ht="45" customHeight="1" x14ac:dyDescent="0.25">
      <c r="A24" s="165" t="s">
        <v>62</v>
      </c>
      <c r="B24" s="165"/>
      <c r="C24" s="29">
        <v>54</v>
      </c>
      <c r="D24" s="29">
        <v>67.5</v>
      </c>
      <c r="E24" s="29">
        <v>55.2</v>
      </c>
      <c r="F24" s="29">
        <v>69</v>
      </c>
      <c r="G24" s="29">
        <v>229.8</v>
      </c>
      <c r="H24" s="29">
        <v>287.25</v>
      </c>
      <c r="I24" s="29">
        <v>1632</v>
      </c>
      <c r="J24" s="29">
        <v>1818</v>
      </c>
    </row>
    <row r="25" spans="1:10" ht="45" customHeight="1" x14ac:dyDescent="0.25">
      <c r="A25" s="165" t="s">
        <v>60</v>
      </c>
      <c r="B25" s="165"/>
      <c r="C25" s="163">
        <v>60.42</v>
      </c>
      <c r="D25" s="163"/>
      <c r="E25" s="163">
        <v>63.65</v>
      </c>
      <c r="F25" s="163"/>
      <c r="G25" s="163">
        <v>245.7</v>
      </c>
      <c r="H25" s="163"/>
      <c r="I25" s="163">
        <v>1827.17</v>
      </c>
      <c r="J25" s="163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на выход</vt:lpstr>
      <vt:lpstr>сводки БЖУ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ккк</cp:lastModifiedBy>
  <cp:lastPrinted>2024-01-23T00:55:14Z</cp:lastPrinted>
  <dcterms:created xsi:type="dcterms:W3CDTF">2020-10-25T16:40:18Z</dcterms:created>
  <dcterms:modified xsi:type="dcterms:W3CDTF">2024-02-22T05:15:36Z</dcterms:modified>
</cp:coreProperties>
</file>